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C\MRC\2020\Reporting\2020 12\E01 Financiele analyse\06 Website tabellen\"/>
    </mc:Choice>
  </mc:AlternateContent>
  <xr:revisionPtr revIDLastSave="0" documentId="8_{E302C989-735D-438B-AAED-251DA172403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Y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'FY 2020'!$A$1:$G$139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48" i="1" l="1"/>
  <c r="F129" i="1" l="1"/>
  <c r="F142" i="1" s="1"/>
  <c r="E155" i="1" l="1"/>
  <c r="G155" i="1"/>
  <c r="G149" i="1" l="1"/>
  <c r="F149" i="1"/>
  <c r="G142" i="1" l="1"/>
  <c r="G129" i="1"/>
  <c r="G136" i="1"/>
  <c r="G119" i="1"/>
  <c r="G92" i="1"/>
  <c r="G86" i="1"/>
  <c r="G75" i="1"/>
  <c r="G48" i="1"/>
  <c r="G32" i="1"/>
  <c r="F136" i="1"/>
  <c r="F119" i="1"/>
  <c r="F92" i="1"/>
  <c r="D21" i="1" l="1"/>
  <c r="G8" i="1" l="1"/>
  <c r="E8" i="1"/>
  <c r="F155" i="1" l="1"/>
  <c r="F86" i="1"/>
  <c r="F32" i="1"/>
  <c r="F75" i="1"/>
  <c r="F21" i="1"/>
  <c r="G16" i="1" l="1"/>
  <c r="G21" i="1" s="1"/>
  <c r="E16" i="1"/>
  <c r="E21" i="1" s="1"/>
  <c r="G89" i="1" l="1"/>
  <c r="G52" i="1" l="1"/>
  <c r="G35" i="1" l="1"/>
  <c r="G40" i="1" s="1"/>
  <c r="G56" i="1" l="1"/>
  <c r="G58" i="1" s="1"/>
  <c r="G22" i="1"/>
  <c r="G25" i="1" s="1"/>
  <c r="G158" i="1" l="1"/>
  <c r="F158" i="1" l="1"/>
  <c r="F162" i="1" l="1"/>
  <c r="F35" i="1"/>
  <c r="F40" i="1" s="1"/>
  <c r="F22" i="1"/>
  <c r="F25" i="1" l="1"/>
  <c r="G26" i="1" s="1"/>
  <c r="F44" i="1"/>
  <c r="F78" i="1"/>
  <c r="F82" i="1" l="1"/>
  <c r="F83" i="1"/>
  <c r="G44" i="1" l="1"/>
  <c r="G78" i="1"/>
  <c r="G83" i="1" l="1"/>
  <c r="G82" i="1"/>
  <c r="E158" i="1" l="1"/>
  <c r="F110" i="1"/>
  <c r="F114" i="1" s="1"/>
  <c r="F100" i="1"/>
  <c r="F56" i="1"/>
  <c r="E22" i="1"/>
  <c r="F52" i="1" l="1"/>
  <c r="F58" i="1" s="1"/>
  <c r="F106" i="1"/>
  <c r="F113" i="1" s="1"/>
  <c r="E25" i="1"/>
  <c r="F102" i="1"/>
  <c r="F112" i="1" s="1"/>
  <c r="E6" i="1"/>
  <c r="F89" i="1"/>
  <c r="F139" i="1"/>
  <c r="F115" i="1" l="1"/>
  <c r="G6" i="1" l="1"/>
  <c r="G12" i="1" s="1"/>
  <c r="E162" i="1" l="1"/>
  <c r="F163" i="1" s="1"/>
  <c r="F167" i="1" s="1"/>
  <c r="E10" i="1" l="1"/>
  <c r="E12" i="1" s="1"/>
  <c r="D22" i="1"/>
  <c r="D25" i="1" s="1"/>
  <c r="E26" i="1" s="1"/>
  <c r="G132" i="1" l="1"/>
  <c r="G162" i="1" l="1"/>
  <c r="G163" i="1" s="1"/>
  <c r="G167" i="1" s="1"/>
  <c r="E19" i="1" l="1"/>
  <c r="F145" i="1" l="1"/>
  <c r="E28" i="1"/>
  <c r="F122" i="1"/>
  <c r="F125" i="1" s="1"/>
  <c r="G19" i="1" l="1"/>
  <c r="G145" i="1" l="1"/>
  <c r="G28" i="1"/>
  <c r="G122" i="1"/>
  <c r="G125" i="1" s="1"/>
  <c r="G139" i="1" l="1"/>
  <c r="G152" i="1" l="1"/>
  <c r="G110" i="1" l="1"/>
  <c r="G114" i="1" s="1"/>
  <c r="G100" i="1"/>
  <c r="G102" i="1" s="1"/>
  <c r="G112" i="1" s="1"/>
  <c r="G106" i="1" l="1"/>
  <c r="G113" i="1" s="1"/>
  <c r="G115" i="1" s="1"/>
</calcChain>
</file>

<file path=xl/sharedStrings.xml><?xml version="1.0" encoding="utf-8"?>
<sst xmlns="http://schemas.openxmlformats.org/spreadsheetml/2006/main" count="237" uniqueCount="138">
  <si>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</si>
  <si>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</si>
  <si>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</si>
  <si>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</si>
  <si>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</si>
  <si>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</si>
  <si>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</si>
  <si>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</si>
  <si>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</si>
  <si>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</si>
  <si>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</si>
  <si>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</si>
  <si>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</si>
  <si>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</si>
  <si>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</si>
  <si>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</si>
  <si>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</si>
  <si>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</si>
  <si>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</si>
  <si>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</si>
  <si>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</si>
  <si>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</si>
  <si>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</si>
  <si>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</si>
  <si>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</si>
  <si>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</si>
  <si>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</si>
  <si>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</si>
  <si>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</si>
  <si>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</si>
  <si>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Return on equity</t>
  </si>
  <si>
    <t>Average total equity attributable to shareholders - adjusted</t>
  </si>
  <si>
    <t>Operating return on equity</t>
  </si>
  <si>
    <t>Financial leverage</t>
  </si>
  <si>
    <t>5% hybrid</t>
  </si>
  <si>
    <t>Senior loan</t>
  </si>
  <si>
    <t>IFRS effect for expenses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</si>
  <si>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</si>
  <si>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</si>
  <si>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</si>
  <si>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</si>
  <si>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</si>
  <si>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</si>
  <si>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</si>
  <si>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</si>
  <si>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</si>
  <si>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</si>
  <si>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5.125% subordinated liability</t>
  </si>
  <si>
    <t>Hybrid capital</t>
  </si>
  <si>
    <t>d + e + f =</t>
  </si>
  <si>
    <t>average g =</t>
  </si>
  <si>
    <t>c / h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</si>
  <si>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</si>
  <si>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</si>
  <si>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</si>
  <si>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</si>
  <si>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</si>
  <si>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</si>
  <si>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</si>
  <si>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</si>
  <si>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</si>
  <si>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</si>
  <si>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</si>
  <si>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</si>
  <si>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</si>
  <si>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</si>
  <si>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</si>
  <si>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</si>
  <si>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</si>
  <si>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o</t>
  </si>
  <si>
    <t>p</t>
  </si>
  <si>
    <t>Operating result per share</t>
  </si>
  <si>
    <t>Dividend per share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</si>
  <si>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</si>
  <si>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</si>
  <si>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</si>
  <si>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</si>
  <si>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</si>
  <si>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Result before taxes</t>
  </si>
  <si>
    <t>Solvency II ratio (after proposed dividend and excluding a.s.r. Bank)</t>
  </si>
  <si>
    <t>Double leverage (€ m)</t>
  </si>
  <si>
    <t>Equity of discontinued operations (Bank) and non-core (Real Estate Development)</t>
  </si>
  <si>
    <t>3.375% subordinated liability</t>
  </si>
  <si>
    <t>Solvency II ratio (standard formula)</t>
  </si>
  <si>
    <t>Combined ratio P&amp;C and Disability</t>
  </si>
  <si>
    <t>Net insurance premium</t>
  </si>
  <si>
    <t>c + d =</t>
  </si>
  <si>
    <t>b + e =</t>
  </si>
  <si>
    <t>g + h =</t>
  </si>
  <si>
    <t>j + k =</t>
  </si>
  <si>
    <t>-f / a =</t>
  </si>
  <si>
    <t>-i / a =</t>
  </si>
  <si>
    <t>-l / a =</t>
  </si>
  <si>
    <t>m + n + o =</t>
  </si>
  <si>
    <t>Dividend pay-out ratio</t>
  </si>
  <si>
    <t>Organic growth gross written premiums P&amp;C and Disability</t>
  </si>
  <si>
    <t>Life operating expenses on basic provision</t>
  </si>
  <si>
    <t>Dividend pay-out ratio (%)</t>
  </si>
  <si>
    <t>GWP P&amp;C and Disability</t>
  </si>
  <si>
    <r>
      <t>(a-b)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(a-b)</t>
    </r>
    <r>
      <rPr>
        <vertAlign val="subscript"/>
        <sz val="10"/>
        <color theme="1"/>
        <rFont val="Arial"/>
        <family val="2"/>
      </rPr>
      <t>t-1</t>
    </r>
    <r>
      <rPr>
        <sz val="10"/>
        <color theme="1"/>
        <rFont val="Arial"/>
        <family val="2"/>
      </rPr>
      <t xml:space="preserve"> -1</t>
    </r>
  </si>
  <si>
    <t>GWP organic growth rate (% vs same period last year)</t>
  </si>
  <si>
    <t>Liabilities arising from insurance contracts</t>
  </si>
  <si>
    <t>Liabilities arising from insurance contracts on behalf of policyholders</t>
  </si>
  <si>
    <t>a+b =</t>
  </si>
  <si>
    <t>-/- shadow accounting reserve</t>
  </si>
  <si>
    <t>-/- realised gains reserve</t>
  </si>
  <si>
    <t>-/- other reserves</t>
  </si>
  <si>
    <t>c-(d+e+f) =</t>
  </si>
  <si>
    <t>Basic provision Life</t>
  </si>
  <si>
    <t>Average basic provision Life</t>
  </si>
  <si>
    <t>Life operating expenses on basic life provision per annum (bps)</t>
  </si>
  <si>
    <t>c / d =</t>
  </si>
  <si>
    <t>- i / h *10.000 =</t>
  </si>
  <si>
    <t>Total technical provision Life</t>
  </si>
  <si>
    <t>Costs for hybrid capital (net)</t>
  </si>
  <si>
    <t>* proposed dividend</t>
  </si>
  <si>
    <t>Number of shares outstanding (end of period)</t>
  </si>
  <si>
    <t>Operating net result excl. costs for hybrid capital</t>
  </si>
  <si>
    <t>Unrealised gains / losses (as part of equity)</t>
  </si>
  <si>
    <t>Total equity attributable to shareholders (excl, unrealised gains / losses and discontinued operations)</t>
  </si>
  <si>
    <t>FY 2018</t>
  </si>
  <si>
    <t>FY 2019</t>
  </si>
  <si>
    <t>4,625% hybrid (incl. tap sep 2019)</t>
  </si>
  <si>
    <t>c + d + e + f + g =</t>
  </si>
  <si>
    <t>h / (h + i) =</t>
  </si>
  <si>
    <t>GWP Acquisitions in reporting year (P&amp;C and Disability) *</t>
  </si>
  <si>
    <t>* acquisitions relate to Loyalis/Veherex, as the closing was on the 1st of May 2019 and 1st of January 2020 respectively</t>
  </si>
  <si>
    <t>FY 2020</t>
  </si>
  <si>
    <t>FULL YEAR 2020 AND 2019</t>
  </si>
  <si>
    <t>Net operating result excl. costs for hybrid capital</t>
  </si>
  <si>
    <t>Operating expenses Life</t>
  </si>
  <si>
    <t xml:space="preserve">Dividend paid </t>
  </si>
  <si>
    <t>Number of shares outstanding (weighted average)</t>
  </si>
  <si>
    <t>Operating net result</t>
  </si>
  <si>
    <t>Dividend</t>
  </si>
  <si>
    <t>Net result</t>
  </si>
  <si>
    <t>Net result excl. costs for hybrid capital</t>
  </si>
  <si>
    <t>Costs for hybrid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</si>
</sst>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70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9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  <xf numFmtId="0" fontId="12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06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4" fontId="10" fillId="4" borderId="0" xfId="1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164" fontId="4" fillId="4" borderId="0" xfId="1" applyNumberFormat="1" applyFont="1" applyFill="1" applyAlignment="1">
      <alignment vertical="top"/>
    </xf>
    <xf numFmtId="164" fontId="4" fillId="4" borderId="0" xfId="1" applyNumberFormat="1" applyFont="1" applyFill="1" applyAlignment="1">
      <alignment horizontal="right" vertical="top"/>
    </xf>
    <xf numFmtId="0" fontId="5" fillId="4" borderId="0" xfId="0" applyFont="1" applyFill="1" applyBorder="1" applyAlignment="1">
      <alignment vertical="top"/>
    </xf>
    <xf numFmtId="164" fontId="11" fillId="0" borderId="0" xfId="1" applyNumberFormat="1" applyFont="1" applyFill="1" applyAlignment="1">
      <alignment vertical="top"/>
    </xf>
    <xf numFmtId="164" fontId="4" fillId="0" borderId="0" xfId="1" quotePrefix="1" applyNumberFormat="1" applyFont="1" applyFill="1" applyAlignment="1">
      <alignment vertical="top" wrapText="1"/>
    </xf>
    <xf numFmtId="3" fontId="9" fillId="3" borderId="3" xfId="10" quotePrefix="1" applyNumberFormat="1" applyFont="1" applyFill="1" applyBorder="1" applyAlignment="1">
      <alignment vertical="top"/>
    </xf>
    <xf numFmtId="170" fontId="4" fillId="3" borderId="0" xfId="10" quotePrefix="1" applyNumberFormat="1" applyFont="1" applyFill="1" applyBorder="1" applyAlignment="1">
      <alignment horizontal="left" vertical="top" wrapText="1" indent="1"/>
    </xf>
    <xf numFmtId="0" fontId="4" fillId="3" borderId="0" xfId="0" quotePrefix="1" applyFont="1" applyFill="1" applyBorder="1" applyAlignment="1">
      <alignment horizontal="left" vertical="top" indent="1"/>
    </xf>
    <xf numFmtId="0" fontId="4" fillId="0" borderId="0" xfId="0" quotePrefix="1" applyFont="1" applyBorder="1" applyAlignment="1">
      <alignment horizontal="left" vertical="top" indent="1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quotePrefix="1" applyFont="1" applyFill="1" applyBorder="1" applyAlignment="1">
      <alignment horizontal="right" vertical="top"/>
    </xf>
    <xf numFmtId="0" fontId="5" fillId="0" borderId="0" xfId="0" quotePrefix="1" applyFont="1" applyFill="1" applyBorder="1" applyAlignment="1">
      <alignment horizontal="left" vertical="top" wrapText="1"/>
    </xf>
    <xf numFmtId="164" fontId="2" fillId="4" borderId="0" xfId="1" applyNumberFormat="1" applyFont="1" applyFill="1" applyAlignment="1">
      <alignment horizontal="right" vertical="top"/>
    </xf>
    <xf numFmtId="168" fontId="7" fillId="0" borderId="1" xfId="1" applyNumberFormat="1" applyFont="1" applyFill="1" applyBorder="1" applyAlignment="1">
      <alignment horizontal="right" vertical="top"/>
    </xf>
    <xf numFmtId="165" fontId="2" fillId="5" borderId="0" xfId="1" applyNumberFormat="1" applyFont="1" applyFill="1" applyAlignment="1">
      <alignment horizontal="right" vertical="top"/>
    </xf>
    <xf numFmtId="165" fontId="2" fillId="5" borderId="1" xfId="1" applyNumberFormat="1" applyFont="1" applyFill="1" applyBorder="1" applyAlignment="1">
      <alignment horizontal="right" vertical="top"/>
    </xf>
    <xf numFmtId="165" fontId="7" fillId="5" borderId="0" xfId="1" applyNumberFormat="1" applyFont="1" applyFill="1" applyAlignment="1">
      <alignment horizontal="right" vertical="top"/>
    </xf>
    <xf numFmtId="168" fontId="7" fillId="5" borderId="1" xfId="1" applyNumberFormat="1" applyFont="1" applyFill="1" applyBorder="1" applyAlignment="1">
      <alignment horizontal="right" vertical="top"/>
    </xf>
    <xf numFmtId="165" fontId="2" fillId="5" borderId="0" xfId="1" applyNumberFormat="1" applyFont="1" applyFill="1" applyBorder="1" applyAlignment="1">
      <alignment horizontal="right" vertical="top"/>
    </xf>
    <xf numFmtId="164" fontId="2" fillId="5" borderId="0" xfId="1" applyNumberFormat="1" applyFont="1" applyFill="1" applyAlignment="1">
      <alignment horizontal="right" vertical="top"/>
    </xf>
    <xf numFmtId="166" fontId="7" fillId="5" borderId="0" xfId="2" applyNumberFormat="1" applyFont="1" applyFill="1" applyBorder="1" applyAlignment="1">
      <alignment horizontal="right" vertical="top"/>
    </xf>
    <xf numFmtId="166" fontId="7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5" borderId="2" xfId="1" applyNumberFormat="1" applyFont="1" applyFill="1" applyBorder="1" applyAlignment="1">
      <alignment horizontal="right" vertical="top"/>
    </xf>
    <xf numFmtId="165" fontId="7" fillId="5" borderId="0" xfId="1" applyNumberFormat="1" applyFont="1" applyFill="1" applyBorder="1" applyAlignment="1">
      <alignment horizontal="right" vertical="top"/>
    </xf>
    <xf numFmtId="166" fontId="7" fillId="5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5" borderId="0" xfId="1" applyNumberFormat="1" applyFont="1" applyFill="1" applyAlignment="1">
      <alignment vertical="top"/>
    </xf>
    <xf numFmtId="165" fontId="2" fillId="5" borderId="0" xfId="1" applyNumberFormat="1" applyFont="1" applyFill="1" applyAlignment="1">
      <alignment vertical="top"/>
    </xf>
    <xf numFmtId="165" fontId="2" fillId="5" borderId="1" xfId="1" applyNumberFormat="1" applyFont="1" applyFill="1" applyBorder="1" applyAlignment="1">
      <alignment vertical="top"/>
    </xf>
    <xf numFmtId="165" fontId="7" fillId="5" borderId="0" xfId="1" applyNumberFormat="1" applyFont="1" applyFill="1" applyAlignment="1">
      <alignment vertical="top"/>
    </xf>
    <xf numFmtId="164" fontId="7" fillId="5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164" fontId="2" fillId="2" borderId="0" xfId="1" applyNumberFormat="1" applyFont="1" applyFill="1" applyAlignment="1">
      <alignment horizontal="right" vertical="top"/>
    </xf>
    <xf numFmtId="164" fontId="2" fillId="2" borderId="0" xfId="1" applyNumberFormat="1" applyFont="1" applyFill="1" applyAlignment="1">
      <alignment vertical="top"/>
    </xf>
    <xf numFmtId="0" fontId="2" fillId="5" borderId="0" xfId="0" applyFont="1" applyFill="1" applyBorder="1" applyAlignment="1">
      <alignment horizontal="right" vertical="top"/>
    </xf>
    <xf numFmtId="165" fontId="7" fillId="5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2" fillId="5" borderId="0" xfId="0" applyNumberFormat="1" applyFont="1" applyFill="1" applyBorder="1" applyAlignment="1">
      <alignment horizontal="right" vertical="top"/>
    </xf>
    <xf numFmtId="9" fontId="7" fillId="5" borderId="0" xfId="2" applyFont="1" applyFill="1" applyBorder="1" applyAlignment="1">
      <alignment horizontal="right" vertical="top"/>
    </xf>
    <xf numFmtId="165" fontId="2" fillId="5" borderId="1" xfId="0" applyNumberFormat="1" applyFont="1" applyFill="1" applyBorder="1" applyAlignment="1">
      <alignment horizontal="right" vertical="top"/>
    </xf>
    <xf numFmtId="166" fontId="2" fillId="5" borderId="0" xfId="2" applyNumberFormat="1" applyFont="1" applyFill="1" applyBorder="1" applyAlignment="1">
      <alignment horizontal="right" vertical="top"/>
    </xf>
    <xf numFmtId="43" fontId="7" fillId="5" borderId="0" xfId="0" applyNumberFormat="1" applyFont="1" applyFill="1" applyBorder="1" applyAlignment="1">
      <alignment horizontal="right" vertical="top"/>
    </xf>
    <xf numFmtId="43" fontId="7" fillId="5" borderId="0" xfId="1" applyNumberFormat="1" applyFont="1" applyFill="1" applyAlignment="1">
      <alignment horizontal="right" vertical="top"/>
    </xf>
    <xf numFmtId="165" fontId="4" fillId="0" borderId="4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horizontal="right" vertical="top"/>
    </xf>
    <xf numFmtId="165" fontId="2" fillId="5" borderId="4" xfId="1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 wrapText="1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4" fillId="0" borderId="0" xfId="1" applyNumberFormat="1" applyFont="1" applyFill="1" applyAlignment="1">
      <alignment vertical="top"/>
    </xf>
    <xf numFmtId="164" fontId="15" fillId="4" borderId="0" xfId="1" quotePrefix="1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vertical="top"/>
    </xf>
    <xf numFmtId="164" fontId="16" fillId="0" borderId="0" xfId="1" applyNumberFormat="1" applyFont="1" applyFill="1" applyAlignment="1">
      <alignment vertical="top"/>
    </xf>
    <xf numFmtId="0" fontId="5" fillId="3" borderId="0" xfId="0" applyFont="1" applyFill="1" applyBorder="1" applyAlignment="1">
      <alignment vertical="top"/>
    </xf>
  </cellXfs>
  <cellStyles count="12">
    <cellStyle name="Align_indent_1" xfId="11" xr:uid="{DF2212CF-BB92-41E7-843C-CAAFF8D59C86}"/>
    <cellStyle name="Fnt_default_11_bold" xfId="10" xr:uid="{0E315AC2-FA4A-46B0-8A7A-AEEC21B7079C}"/>
    <cellStyle name="Hyperlink 2" xfId="7" xr:uid="{00000000-0005-0000-0000-000001000000}"/>
    <cellStyle name="Komma" xfId="1" builtinId="3"/>
    <cellStyle name="Komma 11" xfId="8" xr:uid="{00000000-0005-0000-0000-000003000000}"/>
    <cellStyle name="Normal" xfId="9" xr:uid="{00000000-0005-0000-0000-000004000000}"/>
    <cellStyle name="Procent" xfId="2" builtinId="5"/>
    <cellStyle name="Standaard" xfId="0" builtinId="0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/MRC/2014/Reporting/2014%2006/21.%20Standard%20&amp;%20Poor/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  <sheetName val="4EKW97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>
        <row r="41">
          <cell r="AH41">
            <v>234378.47399999999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7"/>
  <sheetViews>
    <sheetView showGridLines="0" tabSelected="1" topLeftCell="A22" zoomScaleNormal="100" workbookViewId="0">
      <selection activeCell="L36" sqref="L36"/>
    </sheetView>
  </sheetViews>
  <sheetFormatPr defaultColWidth="9.140625" defaultRowHeight="12.75" x14ac:dyDescent="0.25"/>
  <cols>
    <col min="1" max="1" width="17.5703125" style="10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6" customWidth="1"/>
    <col min="6" max="6" width="14" style="16" bestFit="1" customWidth="1"/>
    <col min="7" max="7" width="14" style="77" bestFit="1" customWidth="1"/>
    <col min="8" max="16384" width="9.140625" style="1"/>
  </cols>
  <sheetData>
    <row r="1" spans="1:7" ht="18" x14ac:dyDescent="0.25">
      <c r="A1" s="102" t="s">
        <v>54</v>
      </c>
      <c r="B1" s="49"/>
      <c r="C1" s="48" t="s">
        <v>128</v>
      </c>
      <c r="D1" s="50"/>
      <c r="E1" s="51"/>
      <c r="F1" s="51"/>
      <c r="G1" s="63"/>
    </row>
    <row r="3" spans="1:7" x14ac:dyDescent="0.25">
      <c r="A3" s="1"/>
      <c r="C3" s="52" t="s">
        <v>27</v>
      </c>
      <c r="D3" s="3"/>
      <c r="E3" s="100" t="s">
        <v>121</v>
      </c>
      <c r="F3" s="5"/>
      <c r="G3" s="64" t="s">
        <v>127</v>
      </c>
    </row>
    <row r="4" spans="1:7" x14ac:dyDescent="0.25">
      <c r="B4" s="2" t="s">
        <v>0</v>
      </c>
      <c r="C4" s="6" t="s">
        <v>135</v>
      </c>
      <c r="D4" s="7"/>
      <c r="E4" s="45">
        <v>971.85474977000001</v>
      </c>
      <c r="F4" s="5"/>
      <c r="G4" s="65">
        <v>657.21015205999993</v>
      </c>
    </row>
    <row r="5" spans="1:7" x14ac:dyDescent="0.25">
      <c r="B5" s="2" t="s">
        <v>1</v>
      </c>
      <c r="C5" s="6" t="s">
        <v>137</v>
      </c>
      <c r="D5" s="7"/>
      <c r="E5" s="9">
        <v>-59.984282619999995</v>
      </c>
      <c r="F5" s="5"/>
      <c r="G5" s="66">
        <v>-48.125</v>
      </c>
    </row>
    <row r="6" spans="1:7" x14ac:dyDescent="0.25">
      <c r="A6" s="10" t="s">
        <v>2</v>
      </c>
      <c r="B6" s="2" t="s">
        <v>3</v>
      </c>
      <c r="C6" s="11" t="s">
        <v>136</v>
      </c>
      <c r="D6" s="12"/>
      <c r="E6" s="13">
        <f>E4+E5</f>
        <v>911.87046714999997</v>
      </c>
      <c r="F6" s="5"/>
      <c r="G6" s="67">
        <f>G4+G5</f>
        <v>609.08515205999993</v>
      </c>
    </row>
    <row r="7" spans="1:7" x14ac:dyDescent="0.25">
      <c r="D7" s="12"/>
      <c r="E7" s="13"/>
      <c r="F7" s="13"/>
      <c r="G7" s="67"/>
    </row>
    <row r="8" spans="1:7" x14ac:dyDescent="0.25">
      <c r="D8" s="32" t="s">
        <v>120</v>
      </c>
      <c r="E8" s="100" t="str">
        <f>E3</f>
        <v>FY 2019</v>
      </c>
      <c r="F8" s="100" t="s">
        <v>121</v>
      </c>
      <c r="G8" s="68" t="str">
        <f>G3</f>
        <v>FY 2020</v>
      </c>
    </row>
    <row r="9" spans="1:7" x14ac:dyDescent="0.25">
      <c r="B9" s="2" t="s">
        <v>4</v>
      </c>
      <c r="C9" s="6" t="s">
        <v>28</v>
      </c>
      <c r="D9" s="14">
        <v>4478.0687006700009</v>
      </c>
      <c r="E9" s="15">
        <v>5088.8546474500008</v>
      </c>
      <c r="F9" s="14">
        <v>5088.8546474500008</v>
      </c>
      <c r="G9" s="69">
        <v>5309.1216707699996</v>
      </c>
    </row>
    <row r="10" spans="1:7" x14ac:dyDescent="0.25">
      <c r="A10" s="10" t="s">
        <v>5</v>
      </c>
      <c r="B10" s="2" t="s">
        <v>6</v>
      </c>
      <c r="C10" s="11" t="s">
        <v>29</v>
      </c>
      <c r="D10" s="13"/>
      <c r="E10" s="13">
        <f>AVERAGE(D9,E9)</f>
        <v>4783.4616740600013</v>
      </c>
      <c r="F10" s="13"/>
      <c r="G10" s="67">
        <f>AVERAGE(F9,G9)</f>
        <v>5198.9881591100002</v>
      </c>
    </row>
    <row r="11" spans="1:7" x14ac:dyDescent="0.25">
      <c r="C11" s="6"/>
      <c r="D11" s="16"/>
      <c r="G11" s="70"/>
    </row>
    <row r="12" spans="1:7" x14ac:dyDescent="0.25">
      <c r="A12" s="10" t="s">
        <v>7</v>
      </c>
      <c r="B12" s="2" t="s">
        <v>8</v>
      </c>
      <c r="C12" s="11" t="s">
        <v>30</v>
      </c>
      <c r="D12" s="17"/>
      <c r="E12" s="17">
        <f>+E6/E10</f>
        <v>0.1906298261142004</v>
      </c>
      <c r="F12" s="17"/>
      <c r="G12" s="71">
        <f>+G6/G10</f>
        <v>0.11715455650590816</v>
      </c>
    </row>
    <row r="13" spans="1:7" x14ac:dyDescent="0.25">
      <c r="E13" s="17"/>
      <c r="F13" s="17"/>
      <c r="G13" s="72"/>
    </row>
    <row r="14" spans="1:7" x14ac:dyDescent="0.25">
      <c r="C14" s="101"/>
      <c r="E14" s="17"/>
      <c r="F14" s="17"/>
      <c r="G14" s="72"/>
    </row>
    <row r="16" spans="1:7" x14ac:dyDescent="0.25">
      <c r="C16" s="52" t="s">
        <v>32</v>
      </c>
      <c r="D16" s="3"/>
      <c r="E16" s="100" t="str">
        <f>+E3</f>
        <v>FY 2019</v>
      </c>
      <c r="G16" s="64" t="str">
        <f>+G3</f>
        <v>FY 2020</v>
      </c>
    </row>
    <row r="17" spans="1:7" x14ac:dyDescent="0.25">
      <c r="B17" s="2" t="s">
        <v>0</v>
      </c>
      <c r="C17" s="6" t="s">
        <v>133</v>
      </c>
      <c r="D17" s="7"/>
      <c r="E17" s="8">
        <v>643.15199399999983</v>
      </c>
      <c r="G17" s="65">
        <v>663.70347374999994</v>
      </c>
    </row>
    <row r="18" spans="1:7" x14ac:dyDescent="0.25">
      <c r="B18" s="2" t="s">
        <v>1</v>
      </c>
      <c r="C18" s="6" t="s">
        <v>114</v>
      </c>
      <c r="D18" s="7"/>
      <c r="E18" s="9">
        <v>-48.614919615000005</v>
      </c>
      <c r="G18" s="66">
        <v>-36.09375</v>
      </c>
    </row>
    <row r="19" spans="1:7" x14ac:dyDescent="0.25">
      <c r="A19" s="10" t="s">
        <v>2</v>
      </c>
      <c r="B19" s="2" t="s">
        <v>3</v>
      </c>
      <c r="C19" s="11" t="s">
        <v>117</v>
      </c>
      <c r="D19" s="12"/>
      <c r="E19" s="13">
        <f>E17+E18</f>
        <v>594.53707438499987</v>
      </c>
      <c r="G19" s="67">
        <f>G17+G18</f>
        <v>627.60972374999994</v>
      </c>
    </row>
    <row r="20" spans="1:7" x14ac:dyDescent="0.25">
      <c r="C20" s="6"/>
      <c r="D20" s="7"/>
      <c r="E20" s="13"/>
      <c r="F20" s="13"/>
      <c r="G20" s="67"/>
    </row>
    <row r="21" spans="1:7" x14ac:dyDescent="0.25">
      <c r="C21" s="6"/>
      <c r="D21" s="32" t="str">
        <f>D8</f>
        <v>FY 2018</v>
      </c>
      <c r="E21" s="100" t="str">
        <f>+E16</f>
        <v>FY 2019</v>
      </c>
      <c r="F21" s="100" t="str">
        <f>F8</f>
        <v>FY 2019</v>
      </c>
      <c r="G21" s="68" t="str">
        <f>+G16</f>
        <v>FY 2020</v>
      </c>
    </row>
    <row r="22" spans="1:7" x14ac:dyDescent="0.25">
      <c r="B22" s="2" t="s">
        <v>4</v>
      </c>
      <c r="C22" s="6" t="s">
        <v>28</v>
      </c>
      <c r="D22" s="14">
        <f>D9</f>
        <v>4478.0687006700009</v>
      </c>
      <c r="E22" s="8">
        <f>E9</f>
        <v>5088.8546474500008</v>
      </c>
      <c r="F22" s="8">
        <f>F9</f>
        <v>5088.8546474500008</v>
      </c>
      <c r="G22" s="65">
        <f>G9</f>
        <v>5309.1216707699996</v>
      </c>
    </row>
    <row r="23" spans="1:7" x14ac:dyDescent="0.25">
      <c r="B23" s="2" t="s">
        <v>6</v>
      </c>
      <c r="C23" s="6" t="s">
        <v>118</v>
      </c>
      <c r="D23" s="14">
        <v>-585.75235585999997</v>
      </c>
      <c r="E23" s="8">
        <v>-936.75208120999991</v>
      </c>
      <c r="F23" s="8">
        <v>-936.75208120999991</v>
      </c>
      <c r="G23" s="65">
        <v>-1136.7960003100002</v>
      </c>
    </row>
    <row r="24" spans="1:7" ht="13.5" thickBot="1" x14ac:dyDescent="0.3">
      <c r="B24" s="2" t="s">
        <v>8</v>
      </c>
      <c r="C24" s="6" t="s">
        <v>81</v>
      </c>
      <c r="D24" s="95">
        <v>-115.20909746000001</v>
      </c>
      <c r="E24" s="96">
        <v>-54.218085479999999</v>
      </c>
      <c r="F24" s="96">
        <v>-54.218085479999999</v>
      </c>
      <c r="G24" s="97">
        <v>-56.248870859999997</v>
      </c>
    </row>
    <row r="25" spans="1:7" s="23" customFormat="1" ht="30.75" customHeight="1" x14ac:dyDescent="0.25">
      <c r="A25" s="10" t="s">
        <v>49</v>
      </c>
      <c r="B25" s="2" t="s">
        <v>10</v>
      </c>
      <c r="C25" s="98" t="s">
        <v>119</v>
      </c>
      <c r="D25" s="99">
        <f>D22+D23+D24</f>
        <v>3777.1072473500008</v>
      </c>
      <c r="E25" s="99">
        <f>E22+E23+E24</f>
        <v>4097.8844807600008</v>
      </c>
      <c r="F25" s="99">
        <f>F22+F23+F24</f>
        <v>4097.8844807600008</v>
      </c>
      <c r="G25" s="67">
        <f>G22+G23+G24</f>
        <v>4116.0767995999986</v>
      </c>
    </row>
    <row r="26" spans="1:7" x14ac:dyDescent="0.25">
      <c r="A26" s="10" t="s">
        <v>50</v>
      </c>
      <c r="B26" s="2" t="s">
        <v>11</v>
      </c>
      <c r="C26" s="11" t="s">
        <v>31</v>
      </c>
      <c r="D26" s="13"/>
      <c r="E26" s="13">
        <f>(D25+E25)/2</f>
        <v>3937.4958640550008</v>
      </c>
      <c r="F26" s="13"/>
      <c r="G26" s="67">
        <f>(F25+G25)/2</f>
        <v>4106.9806401799997</v>
      </c>
    </row>
    <row r="27" spans="1:7" x14ac:dyDescent="0.25">
      <c r="G27" s="70"/>
    </row>
    <row r="28" spans="1:7" x14ac:dyDescent="0.25">
      <c r="A28" s="10" t="s">
        <v>51</v>
      </c>
      <c r="B28" s="2" t="s">
        <v>12</v>
      </c>
      <c r="C28" s="11" t="s">
        <v>32</v>
      </c>
      <c r="D28" s="11"/>
      <c r="E28" s="17">
        <f>+E19/E26</f>
        <v>0.15099370130454443</v>
      </c>
      <c r="F28" s="17"/>
      <c r="G28" s="71">
        <f>+G19/G26</f>
        <v>0.15281535968538026</v>
      </c>
    </row>
    <row r="29" spans="1:7" x14ac:dyDescent="0.25">
      <c r="E29" s="1"/>
      <c r="F29" s="1"/>
      <c r="G29" s="72"/>
    </row>
    <row r="30" spans="1:7" x14ac:dyDescent="0.25">
      <c r="E30" s="17"/>
      <c r="F30" s="17"/>
      <c r="G30" s="72"/>
    </row>
    <row r="31" spans="1:7" x14ac:dyDescent="0.25">
      <c r="E31" s="18"/>
      <c r="F31" s="18"/>
      <c r="G31" s="73"/>
    </row>
    <row r="32" spans="1:7" x14ac:dyDescent="0.25">
      <c r="C32" s="52" t="s">
        <v>33</v>
      </c>
      <c r="F32" s="100" t="str">
        <f>$F$8</f>
        <v>FY 2019</v>
      </c>
      <c r="G32" s="64" t="str">
        <f>+$G$3</f>
        <v>FY 2020</v>
      </c>
    </row>
    <row r="33" spans="1:7" x14ac:dyDescent="0.25">
      <c r="B33" s="2" t="s">
        <v>0</v>
      </c>
      <c r="C33" s="42" t="s">
        <v>34</v>
      </c>
      <c r="D33" s="46"/>
      <c r="E33" s="47"/>
      <c r="F33" s="15">
        <v>497</v>
      </c>
      <c r="G33" s="69">
        <v>497</v>
      </c>
    </row>
    <row r="34" spans="1:7" x14ac:dyDescent="0.25">
      <c r="B34" s="2" t="s">
        <v>1</v>
      </c>
      <c r="C34" s="42" t="s">
        <v>122</v>
      </c>
      <c r="D34" s="46"/>
      <c r="E34" s="47"/>
      <c r="F34" s="9">
        <v>507</v>
      </c>
      <c r="G34" s="66">
        <v>507</v>
      </c>
    </row>
    <row r="35" spans="1:7" x14ac:dyDescent="0.25">
      <c r="A35" s="10" t="s">
        <v>2</v>
      </c>
      <c r="B35" s="2" t="s">
        <v>3</v>
      </c>
      <c r="C35" s="42" t="s">
        <v>48</v>
      </c>
      <c r="D35" s="46"/>
      <c r="E35" s="47"/>
      <c r="F35" s="45">
        <f>+F33+F34</f>
        <v>1004</v>
      </c>
      <c r="G35" s="74">
        <f>+G33+G34</f>
        <v>1004</v>
      </c>
    </row>
    <row r="36" spans="1:7" x14ac:dyDescent="0.25">
      <c r="B36" s="2" t="s">
        <v>4</v>
      </c>
      <c r="C36" s="6" t="s">
        <v>47</v>
      </c>
      <c r="F36" s="15">
        <v>497</v>
      </c>
      <c r="G36" s="69">
        <v>497.62608699999998</v>
      </c>
    </row>
    <row r="37" spans="1:7" x14ac:dyDescent="0.25">
      <c r="B37" s="2" t="s">
        <v>6</v>
      </c>
      <c r="C37" s="6" t="s">
        <v>82</v>
      </c>
      <c r="F37" s="15">
        <v>493</v>
      </c>
      <c r="G37" s="69">
        <v>493.23897899999997</v>
      </c>
    </row>
    <row r="38" spans="1:7" x14ac:dyDescent="0.25">
      <c r="B38" s="2" t="s">
        <v>8</v>
      </c>
      <c r="C38" s="6" t="s">
        <v>35</v>
      </c>
      <c r="F38" s="15">
        <v>105</v>
      </c>
      <c r="G38" s="69">
        <v>105</v>
      </c>
    </row>
    <row r="39" spans="1:7" x14ac:dyDescent="0.25">
      <c r="B39" s="2" t="s">
        <v>10</v>
      </c>
      <c r="C39" s="6" t="s">
        <v>36</v>
      </c>
      <c r="F39" s="9">
        <v>0</v>
      </c>
      <c r="G39" s="66">
        <v>0</v>
      </c>
    </row>
    <row r="40" spans="1:7" x14ac:dyDescent="0.25">
      <c r="A40" s="10" t="s">
        <v>123</v>
      </c>
      <c r="B40" s="2" t="s">
        <v>11</v>
      </c>
      <c r="C40" s="11" t="s">
        <v>37</v>
      </c>
      <c r="F40" s="19">
        <f>F35+F36+F37+F38+F39</f>
        <v>2099</v>
      </c>
      <c r="G40" s="75">
        <f>G35+G36+G37+G38+G39</f>
        <v>2099.8650660000003</v>
      </c>
    </row>
    <row r="41" spans="1:7" x14ac:dyDescent="0.25">
      <c r="C41" s="6"/>
      <c r="F41" s="15"/>
      <c r="G41" s="69"/>
    </row>
    <row r="42" spans="1:7" x14ac:dyDescent="0.25">
      <c r="B42" s="2" t="s">
        <v>12</v>
      </c>
      <c r="C42" s="11" t="s">
        <v>28</v>
      </c>
      <c r="F42" s="19">
        <v>5088.8546474500008</v>
      </c>
      <c r="G42" s="75">
        <v>5309.1216707699996</v>
      </c>
    </row>
    <row r="43" spans="1:7" x14ac:dyDescent="0.25">
      <c r="C43" s="6"/>
      <c r="F43" s="15"/>
      <c r="G43" s="69"/>
    </row>
    <row r="44" spans="1:7" x14ac:dyDescent="0.25">
      <c r="A44" s="10" t="s">
        <v>124</v>
      </c>
      <c r="B44" s="2" t="s">
        <v>21</v>
      </c>
      <c r="C44" s="11" t="s">
        <v>38</v>
      </c>
      <c r="F44" s="20">
        <f>F40/(F42+F40)</f>
        <v>0.29202037366527045</v>
      </c>
      <c r="G44" s="76">
        <f>G40/(G42+G40)</f>
        <v>0.2834213557946591</v>
      </c>
    </row>
    <row r="45" spans="1:7" x14ac:dyDescent="0.25">
      <c r="D45" s="20"/>
      <c r="E45" s="17"/>
      <c r="F45" s="31"/>
    </row>
    <row r="46" spans="1:7" x14ac:dyDescent="0.25">
      <c r="D46" s="20"/>
      <c r="E46" s="17"/>
      <c r="F46" s="17"/>
    </row>
    <row r="47" spans="1:7" x14ac:dyDescent="0.25">
      <c r="D47" s="20"/>
    </row>
    <row r="48" spans="1:7" x14ac:dyDescent="0.25">
      <c r="C48" s="52" t="s">
        <v>15</v>
      </c>
      <c r="D48" s="20"/>
      <c r="E48" s="20"/>
      <c r="F48" s="100" t="str">
        <f>$F$8</f>
        <v>FY 2019</v>
      </c>
      <c r="G48" s="64" t="str">
        <f>+$G$3</f>
        <v>FY 2020</v>
      </c>
    </row>
    <row r="49" spans="1:7" x14ac:dyDescent="0.25">
      <c r="B49" s="2" t="s">
        <v>0</v>
      </c>
      <c r="C49" s="6" t="s">
        <v>39</v>
      </c>
      <c r="D49" s="20"/>
      <c r="E49" s="20"/>
      <c r="F49" s="8">
        <v>59.984282117500001</v>
      </c>
      <c r="G49" s="65">
        <v>48</v>
      </c>
    </row>
    <row r="50" spans="1:7" x14ac:dyDescent="0.25">
      <c r="B50" s="2" t="s">
        <v>1</v>
      </c>
      <c r="C50" s="6" t="s">
        <v>46</v>
      </c>
      <c r="D50" s="20"/>
      <c r="E50" s="20"/>
      <c r="F50" s="8">
        <v>36.859589041095887</v>
      </c>
      <c r="G50" s="65">
        <v>43</v>
      </c>
    </row>
    <row r="51" spans="1:7" x14ac:dyDescent="0.25">
      <c r="B51" s="2" t="s">
        <v>3</v>
      </c>
      <c r="C51" s="6" t="s">
        <v>35</v>
      </c>
      <c r="D51" s="20"/>
      <c r="E51" s="20"/>
      <c r="F51" s="9">
        <v>-9.2554583333333343E-2</v>
      </c>
      <c r="G51" s="66">
        <v>0.36015900000000001</v>
      </c>
    </row>
    <row r="52" spans="1:7" x14ac:dyDescent="0.25">
      <c r="A52" s="10" t="s">
        <v>9</v>
      </c>
      <c r="B52" s="2" t="s">
        <v>4</v>
      </c>
      <c r="C52" s="11" t="s">
        <v>40</v>
      </c>
      <c r="D52" s="20"/>
      <c r="E52" s="20"/>
      <c r="F52" s="13">
        <f>F49+F50+F51</f>
        <v>96.75131657526255</v>
      </c>
      <c r="G52" s="67">
        <f>G49+G50+G51</f>
        <v>91.360158999999996</v>
      </c>
    </row>
    <row r="53" spans="1:7" x14ac:dyDescent="0.25">
      <c r="C53" s="11"/>
      <c r="D53" s="20"/>
      <c r="E53" s="20"/>
      <c r="F53" s="8"/>
      <c r="G53" s="78"/>
    </row>
    <row r="54" spans="1:7" x14ac:dyDescent="0.25">
      <c r="B54" s="2" t="s">
        <v>6</v>
      </c>
      <c r="C54" s="21" t="s">
        <v>78</v>
      </c>
      <c r="D54" s="44"/>
      <c r="E54" s="20"/>
      <c r="F54" s="8">
        <v>1210.4542483</v>
      </c>
      <c r="G54" s="79">
        <v>829.12138899000001</v>
      </c>
    </row>
    <row r="55" spans="1:7" x14ac:dyDescent="0.25">
      <c r="B55" s="2" t="s">
        <v>8</v>
      </c>
      <c r="C55" s="6" t="s">
        <v>40</v>
      </c>
      <c r="D55" s="20"/>
      <c r="E55" s="20"/>
      <c r="F55" s="9">
        <v>36.767034457762556</v>
      </c>
      <c r="G55" s="80">
        <v>43.360159000000003</v>
      </c>
    </row>
    <row r="56" spans="1:7" x14ac:dyDescent="0.25">
      <c r="A56" s="10" t="s">
        <v>52</v>
      </c>
      <c r="B56" s="2" t="s">
        <v>10</v>
      </c>
      <c r="C56" s="11" t="s">
        <v>45</v>
      </c>
      <c r="D56" s="20"/>
      <c r="E56" s="20"/>
      <c r="F56" s="13">
        <f>F54+F55</f>
        <v>1247.2212827577625</v>
      </c>
      <c r="G56" s="81">
        <f>G54+G55</f>
        <v>872.48154798999997</v>
      </c>
    </row>
    <row r="57" spans="1:7" x14ac:dyDescent="0.25">
      <c r="C57" s="6"/>
      <c r="D57" s="20"/>
      <c r="E57" s="20"/>
      <c r="G57" s="78"/>
    </row>
    <row r="58" spans="1:7" x14ac:dyDescent="0.25">
      <c r="A58" s="10" t="s">
        <v>53</v>
      </c>
      <c r="B58" s="2" t="s">
        <v>11</v>
      </c>
      <c r="C58" s="11" t="s">
        <v>15</v>
      </c>
      <c r="D58" s="20"/>
      <c r="E58" s="20"/>
      <c r="F58" s="22">
        <f>F56/F52</f>
        <v>12.891000628271069</v>
      </c>
      <c r="G58" s="82">
        <f>G56/G52</f>
        <v>9.5499127578138303</v>
      </c>
    </row>
    <row r="59" spans="1:7" x14ac:dyDescent="0.25">
      <c r="D59" s="23"/>
      <c r="E59" s="22"/>
      <c r="F59" s="22"/>
      <c r="G59" s="83"/>
    </row>
    <row r="60" spans="1:7" x14ac:dyDescent="0.25">
      <c r="D60" s="23"/>
      <c r="E60" s="22"/>
      <c r="F60" s="22"/>
    </row>
    <row r="61" spans="1:7" x14ac:dyDescent="0.25">
      <c r="D61" s="23"/>
    </row>
    <row r="62" spans="1:7" hidden="1" x14ac:dyDescent="0.25">
      <c r="D62" s="23">
        <v>0</v>
      </c>
      <c r="E62" s="4"/>
      <c r="F62" s="5">
        <v>0</v>
      </c>
      <c r="G62" s="84">
        <v>0</v>
      </c>
    </row>
    <row r="63" spans="1:7" hidden="1" x14ac:dyDescent="0.25">
      <c r="B63" s="2" t="s">
        <v>0</v>
      </c>
      <c r="D63" s="23">
        <v>0</v>
      </c>
      <c r="F63" s="16">
        <v>0</v>
      </c>
      <c r="G63" s="84">
        <v>0</v>
      </c>
    </row>
    <row r="64" spans="1:7" hidden="1" x14ac:dyDescent="0.25">
      <c r="B64" s="2" t="s">
        <v>1</v>
      </c>
      <c r="D64" s="23">
        <v>0</v>
      </c>
      <c r="E64" s="24"/>
      <c r="F64" s="25">
        <v>0</v>
      </c>
      <c r="G64" s="84">
        <v>0</v>
      </c>
    </row>
    <row r="65" spans="1:8" hidden="1" x14ac:dyDescent="0.25">
      <c r="A65" s="10" t="s">
        <v>2</v>
      </c>
      <c r="B65" s="2" t="s">
        <v>3</v>
      </c>
      <c r="D65" s="23">
        <v>0</v>
      </c>
      <c r="E65" s="22"/>
      <c r="F65" s="22">
        <v>0</v>
      </c>
      <c r="G65" s="84">
        <v>0</v>
      </c>
    </row>
    <row r="66" spans="1:8" hidden="1" x14ac:dyDescent="0.25">
      <c r="D66" s="23">
        <v>0</v>
      </c>
      <c r="F66" s="16">
        <v>0</v>
      </c>
      <c r="G66" s="85">
        <v>0</v>
      </c>
    </row>
    <row r="67" spans="1:8" hidden="1" x14ac:dyDescent="0.25">
      <c r="B67" s="2" t="s">
        <v>4</v>
      </c>
      <c r="D67" s="23">
        <v>0</v>
      </c>
      <c r="F67" s="16">
        <v>0</v>
      </c>
      <c r="G67" s="85">
        <v>0</v>
      </c>
    </row>
    <row r="68" spans="1:8" hidden="1" x14ac:dyDescent="0.25">
      <c r="B68" s="1" t="s">
        <v>6</v>
      </c>
      <c r="D68" s="23">
        <v>0</v>
      </c>
      <c r="E68" s="24"/>
      <c r="F68" s="25">
        <v>0</v>
      </c>
      <c r="G68" s="85">
        <v>0</v>
      </c>
    </row>
    <row r="69" spans="1:8" hidden="1" x14ac:dyDescent="0.25">
      <c r="A69" s="10" t="s">
        <v>13</v>
      </c>
      <c r="B69" s="2" t="s">
        <v>8</v>
      </c>
      <c r="D69" s="23">
        <v>0</v>
      </c>
      <c r="E69" s="22"/>
      <c r="F69" s="22">
        <v>0</v>
      </c>
      <c r="G69" s="85">
        <v>0</v>
      </c>
    </row>
    <row r="70" spans="1:8" hidden="1" x14ac:dyDescent="0.25">
      <c r="D70" s="23">
        <v>0</v>
      </c>
      <c r="E70" s="22"/>
      <c r="F70" s="22">
        <v>0</v>
      </c>
      <c r="G70" s="85">
        <v>0</v>
      </c>
    </row>
    <row r="71" spans="1:8" hidden="1" x14ac:dyDescent="0.25">
      <c r="A71" s="10" t="s">
        <v>14</v>
      </c>
      <c r="B71" s="2" t="s">
        <v>6</v>
      </c>
      <c r="D71" s="23">
        <v>0</v>
      </c>
      <c r="E71" s="22"/>
      <c r="F71" s="22">
        <v>0</v>
      </c>
      <c r="G71" s="85">
        <v>0</v>
      </c>
    </row>
    <row r="72" spans="1:8" hidden="1" x14ac:dyDescent="0.25">
      <c r="B72" s="1"/>
      <c r="D72" s="23">
        <v>0</v>
      </c>
      <c r="E72" s="22"/>
      <c r="F72" s="22">
        <v>0</v>
      </c>
      <c r="G72" s="85">
        <v>0</v>
      </c>
    </row>
    <row r="73" spans="1:8" hidden="1" x14ac:dyDescent="0.25">
      <c r="D73" s="23">
        <v>0</v>
      </c>
      <c r="E73" s="22"/>
      <c r="F73" s="22">
        <v>0</v>
      </c>
      <c r="G73" s="85">
        <v>0</v>
      </c>
    </row>
    <row r="74" spans="1:8" hidden="1" x14ac:dyDescent="0.25">
      <c r="D74" s="23">
        <v>0</v>
      </c>
      <c r="F74" s="16">
        <v>0</v>
      </c>
      <c r="G74" s="85">
        <v>0</v>
      </c>
    </row>
    <row r="75" spans="1:8" x14ac:dyDescent="0.25">
      <c r="C75" s="52" t="s">
        <v>16</v>
      </c>
      <c r="D75" s="26"/>
      <c r="E75" s="23"/>
      <c r="F75" s="32" t="str">
        <f>$F$8</f>
        <v>FY 2019</v>
      </c>
      <c r="G75" s="64" t="str">
        <f>+$G$3</f>
        <v>FY 2020</v>
      </c>
    </row>
    <row r="76" spans="1:8" x14ac:dyDescent="0.25">
      <c r="B76" s="2" t="s">
        <v>0</v>
      </c>
      <c r="C76" s="42" t="s">
        <v>28</v>
      </c>
      <c r="D76" s="6"/>
      <c r="E76" s="23"/>
      <c r="F76" s="15">
        <v>5088.8546474500008</v>
      </c>
      <c r="G76" s="69">
        <v>5309.1216707699996</v>
      </c>
    </row>
    <row r="77" spans="1:8" x14ac:dyDescent="0.25">
      <c r="B77" s="2" t="s">
        <v>1</v>
      </c>
      <c r="C77" s="42" t="s">
        <v>41</v>
      </c>
      <c r="D77" s="6"/>
      <c r="E77" s="23"/>
      <c r="F77" s="9">
        <v>1993.81</v>
      </c>
      <c r="G77" s="66">
        <v>1994.8650660000001</v>
      </c>
    </row>
    <row r="78" spans="1:8" x14ac:dyDescent="0.25">
      <c r="A78" s="10" t="s">
        <v>2</v>
      </c>
      <c r="B78" s="2" t="s">
        <v>3</v>
      </c>
      <c r="C78" s="43" t="s">
        <v>42</v>
      </c>
      <c r="D78" s="11"/>
      <c r="E78" s="23"/>
      <c r="F78" s="19">
        <f>F76+F77</f>
        <v>7082.6646474500012</v>
      </c>
      <c r="G78" s="75">
        <f>G76+G77</f>
        <v>7303.9867367699999</v>
      </c>
    </row>
    <row r="79" spans="1:8" x14ac:dyDescent="0.25">
      <c r="C79" s="42"/>
      <c r="D79" s="6"/>
      <c r="E79" s="23"/>
      <c r="F79" s="15"/>
      <c r="G79" s="69"/>
    </row>
    <row r="80" spans="1:8" x14ac:dyDescent="0.25">
      <c r="B80" s="2" t="s">
        <v>4</v>
      </c>
      <c r="C80" s="43" t="s">
        <v>43</v>
      </c>
      <c r="D80" s="11"/>
      <c r="E80" s="23"/>
      <c r="F80" s="19">
        <v>7222</v>
      </c>
      <c r="G80" s="75">
        <v>7572</v>
      </c>
      <c r="H80" s="53"/>
    </row>
    <row r="81" spans="1:7" x14ac:dyDescent="0.25">
      <c r="C81" s="42"/>
      <c r="D81" s="6"/>
      <c r="E81" s="23"/>
      <c r="F81" s="27"/>
      <c r="G81" s="86"/>
    </row>
    <row r="82" spans="1:7" x14ac:dyDescent="0.25">
      <c r="A82" s="10" t="s">
        <v>17</v>
      </c>
      <c r="B82" s="2" t="s">
        <v>6</v>
      </c>
      <c r="C82" s="43" t="s">
        <v>18</v>
      </c>
      <c r="D82" s="11"/>
      <c r="E82" s="23"/>
      <c r="F82" s="17">
        <f>F80/F78</f>
        <v>1.0196727304603026</v>
      </c>
      <c r="G82" s="71">
        <f>G80/G78</f>
        <v>1.036694105957334</v>
      </c>
    </row>
    <row r="83" spans="1:7" x14ac:dyDescent="0.25">
      <c r="A83" s="10" t="s">
        <v>19</v>
      </c>
      <c r="B83" s="2" t="s">
        <v>8</v>
      </c>
      <c r="C83" s="43" t="s">
        <v>80</v>
      </c>
      <c r="D83" s="11"/>
      <c r="E83" s="23"/>
      <c r="F83" s="28">
        <f>F80-F78</f>
        <v>139.33535254999879</v>
      </c>
      <c r="G83" s="87">
        <f>G80-G78</f>
        <v>268.01326323000012</v>
      </c>
    </row>
    <row r="84" spans="1:7" x14ac:dyDescent="0.25">
      <c r="D84" s="11"/>
      <c r="E84" s="29"/>
      <c r="F84" s="28"/>
      <c r="G84" s="88"/>
    </row>
    <row r="85" spans="1:7" x14ac:dyDescent="0.25">
      <c r="D85" s="11"/>
      <c r="E85" s="29"/>
      <c r="F85" s="28"/>
      <c r="G85" s="88"/>
    </row>
    <row r="86" spans="1:7" x14ac:dyDescent="0.25">
      <c r="C86" s="52" t="s">
        <v>83</v>
      </c>
      <c r="D86" s="26"/>
      <c r="E86" s="29"/>
      <c r="F86" s="32" t="str">
        <f>$F$8</f>
        <v>FY 2019</v>
      </c>
      <c r="G86" s="64" t="str">
        <f>+$G$3</f>
        <v>FY 2020</v>
      </c>
    </row>
    <row r="87" spans="1:7" x14ac:dyDescent="0.25">
      <c r="B87" s="2" t="s">
        <v>0</v>
      </c>
      <c r="C87" s="21" t="s">
        <v>44</v>
      </c>
      <c r="D87" s="6"/>
      <c r="E87" s="29"/>
      <c r="F87" s="30">
        <v>7828</v>
      </c>
      <c r="G87" s="89">
        <v>8273.1188959999999</v>
      </c>
    </row>
    <row r="88" spans="1:7" x14ac:dyDescent="0.25">
      <c r="B88" s="2" t="s">
        <v>1</v>
      </c>
      <c r="C88" s="21" t="s">
        <v>20</v>
      </c>
      <c r="D88" s="6"/>
      <c r="E88" s="29"/>
      <c r="F88" s="30">
        <v>4035</v>
      </c>
      <c r="G88" s="89">
        <v>4158.7344999999996</v>
      </c>
    </row>
    <row r="89" spans="1:7" x14ac:dyDescent="0.25">
      <c r="A89" s="10" t="s">
        <v>26</v>
      </c>
      <c r="B89" s="2" t="s">
        <v>3</v>
      </c>
      <c r="C89" s="11" t="s">
        <v>79</v>
      </c>
      <c r="D89" s="6"/>
      <c r="E89" s="38"/>
      <c r="F89" s="39">
        <f>F87/F88</f>
        <v>1.9400247831474597</v>
      </c>
      <c r="G89" s="90">
        <f>G87/G88</f>
        <v>1.989335673147685</v>
      </c>
    </row>
    <row r="90" spans="1:7" x14ac:dyDescent="0.25">
      <c r="D90" s="29"/>
      <c r="E90" s="28"/>
      <c r="F90" s="28"/>
      <c r="G90" s="83"/>
    </row>
    <row r="91" spans="1:7" x14ac:dyDescent="0.25">
      <c r="D91" s="29"/>
      <c r="E91" s="28"/>
      <c r="F91" s="28"/>
      <c r="G91" s="83"/>
    </row>
    <row r="92" spans="1:7" x14ac:dyDescent="0.25">
      <c r="C92" s="52" t="s">
        <v>84</v>
      </c>
      <c r="D92" s="29"/>
      <c r="E92" s="28"/>
      <c r="F92" s="32" t="str">
        <f>+$E$3</f>
        <v>FY 2019</v>
      </c>
      <c r="G92" s="64" t="str">
        <f>+$G$3</f>
        <v>FY 2020</v>
      </c>
    </row>
    <row r="93" spans="1:7" x14ac:dyDescent="0.25">
      <c r="B93" s="2" t="s">
        <v>0</v>
      </c>
      <c r="C93" s="11" t="s">
        <v>85</v>
      </c>
      <c r="D93" s="29"/>
      <c r="E93" s="28"/>
      <c r="F93" s="28">
        <v>2446.8694320299996</v>
      </c>
      <c r="G93" s="87">
        <v>2673.86775433</v>
      </c>
    </row>
    <row r="94" spans="1:7" x14ac:dyDescent="0.25">
      <c r="C94" s="6"/>
      <c r="D94" s="33"/>
      <c r="E94" s="30"/>
      <c r="F94" s="30"/>
      <c r="G94" s="89"/>
    </row>
    <row r="95" spans="1:7" x14ac:dyDescent="0.25">
      <c r="B95" s="2" t="s">
        <v>1</v>
      </c>
      <c r="C95" s="21" t="s">
        <v>55</v>
      </c>
      <c r="D95" s="33"/>
      <c r="E95" s="30"/>
      <c r="F95" s="30">
        <v>-1662.66748504</v>
      </c>
      <c r="G95" s="89">
        <v>-1861.65727952</v>
      </c>
    </row>
    <row r="96" spans="1:7" x14ac:dyDescent="0.25">
      <c r="C96" s="21"/>
      <c r="D96" s="33"/>
      <c r="E96" s="30"/>
      <c r="F96" s="30"/>
      <c r="G96" s="89"/>
    </row>
    <row r="97" spans="1:7" x14ac:dyDescent="0.25">
      <c r="B97" s="2" t="s">
        <v>3</v>
      </c>
      <c r="C97" s="21" t="s">
        <v>56</v>
      </c>
      <c r="F97" s="30">
        <v>-14.142584859999999</v>
      </c>
      <c r="G97" s="89">
        <v>2.9407618500000017</v>
      </c>
    </row>
    <row r="98" spans="1:7" x14ac:dyDescent="0.25">
      <c r="B98" s="2" t="s">
        <v>4</v>
      </c>
      <c r="C98" s="21" t="s">
        <v>57</v>
      </c>
      <c r="F98" s="30">
        <v>73.125964949999997</v>
      </c>
      <c r="G98" s="89">
        <v>75.64587539</v>
      </c>
    </row>
    <row r="99" spans="1:7" x14ac:dyDescent="0.25">
      <c r="C99" s="21"/>
      <c r="F99" s="34"/>
      <c r="G99" s="91"/>
    </row>
    <row r="100" spans="1:7" x14ac:dyDescent="0.25">
      <c r="A100" s="10" t="s">
        <v>86</v>
      </c>
      <c r="B100" s="2" t="s">
        <v>6</v>
      </c>
      <c r="C100" s="21" t="s">
        <v>58</v>
      </c>
      <c r="F100" s="30">
        <f>F97+F98+F99</f>
        <v>58.983380089999997</v>
      </c>
      <c r="G100" s="89">
        <f>G97+G98+G99</f>
        <v>78.586637240000002</v>
      </c>
    </row>
    <row r="101" spans="1:7" x14ac:dyDescent="0.25">
      <c r="C101" s="6"/>
      <c r="F101" s="30"/>
      <c r="G101" s="89"/>
    </row>
    <row r="102" spans="1:7" x14ac:dyDescent="0.25">
      <c r="A102" s="10" t="s">
        <v>87</v>
      </c>
      <c r="B102" s="2" t="s">
        <v>8</v>
      </c>
      <c r="C102" s="11" t="s">
        <v>59</v>
      </c>
      <c r="D102" s="23"/>
      <c r="E102" s="22"/>
      <c r="F102" s="28">
        <f>F95+F100</f>
        <v>-1603.6841049499999</v>
      </c>
      <c r="G102" s="87">
        <f>G95+G100</f>
        <v>-1783.0706422799999</v>
      </c>
    </row>
    <row r="103" spans="1:7" x14ac:dyDescent="0.25">
      <c r="E103" s="1"/>
      <c r="F103" s="30"/>
      <c r="G103" s="89"/>
    </row>
    <row r="104" spans="1:7" x14ac:dyDescent="0.25">
      <c r="B104" s="2" t="s">
        <v>10</v>
      </c>
      <c r="C104" s="21" t="s">
        <v>60</v>
      </c>
      <c r="E104" s="1"/>
      <c r="F104" s="30">
        <v>22.146649889999999</v>
      </c>
      <c r="G104" s="89">
        <v>24.960717870000003</v>
      </c>
    </row>
    <row r="105" spans="1:7" x14ac:dyDescent="0.25">
      <c r="B105" s="2" t="s">
        <v>11</v>
      </c>
      <c r="C105" s="21" t="s">
        <v>61</v>
      </c>
      <c r="F105" s="34">
        <v>-500.74579660000001</v>
      </c>
      <c r="G105" s="91">
        <v>-527.96600716</v>
      </c>
    </row>
    <row r="106" spans="1:7" x14ac:dyDescent="0.25">
      <c r="A106" s="10" t="s">
        <v>88</v>
      </c>
      <c r="B106" s="2" t="s">
        <v>12</v>
      </c>
      <c r="C106" s="11" t="s">
        <v>62</v>
      </c>
      <c r="D106" s="23"/>
      <c r="E106" s="22"/>
      <c r="F106" s="28">
        <f>F104+F105</f>
        <v>-478.59914671000001</v>
      </c>
      <c r="G106" s="87">
        <f>G104+G105</f>
        <v>-503.00528929000001</v>
      </c>
    </row>
    <row r="107" spans="1:7" x14ac:dyDescent="0.25">
      <c r="F107" s="30"/>
      <c r="G107" s="89"/>
    </row>
    <row r="108" spans="1:7" x14ac:dyDescent="0.25">
      <c r="B108" s="2" t="s">
        <v>21</v>
      </c>
      <c r="C108" s="21" t="s">
        <v>63</v>
      </c>
      <c r="F108" s="30">
        <v>-211.49919758999999</v>
      </c>
      <c r="G108" s="89">
        <v>-223.60170518000001</v>
      </c>
    </row>
    <row r="109" spans="1:7" x14ac:dyDescent="0.25">
      <c r="B109" s="2" t="s">
        <v>22</v>
      </c>
      <c r="C109" s="21" t="s">
        <v>64</v>
      </c>
      <c r="F109" s="34">
        <v>6.7194193099999993</v>
      </c>
      <c r="G109" s="91">
        <v>6.5217774900000007</v>
      </c>
    </row>
    <row r="110" spans="1:7" x14ac:dyDescent="0.25">
      <c r="A110" s="10" t="s">
        <v>89</v>
      </c>
      <c r="B110" s="2" t="s">
        <v>23</v>
      </c>
      <c r="C110" s="35" t="s">
        <v>65</v>
      </c>
      <c r="D110" s="23"/>
      <c r="E110" s="22"/>
      <c r="F110" s="28">
        <f>F108+F109</f>
        <v>-204.77977827999999</v>
      </c>
      <c r="G110" s="87">
        <f>G108+G109</f>
        <v>-217.07992769000001</v>
      </c>
    </row>
    <row r="111" spans="1:7" x14ac:dyDescent="0.25">
      <c r="C111" s="21"/>
      <c r="F111" s="30"/>
      <c r="G111" s="89"/>
    </row>
    <row r="112" spans="1:7" x14ac:dyDescent="0.25">
      <c r="A112" s="10" t="s">
        <v>90</v>
      </c>
      <c r="B112" s="2" t="s">
        <v>24</v>
      </c>
      <c r="C112" s="21" t="s">
        <v>66</v>
      </c>
      <c r="F112" s="18">
        <f>-F102/F93</f>
        <v>0.65540240274264783</v>
      </c>
      <c r="G112" s="92">
        <f>-G102/G93</f>
        <v>0.666850721914925</v>
      </c>
    </row>
    <row r="113" spans="1:8" x14ac:dyDescent="0.25">
      <c r="A113" s="10" t="s">
        <v>91</v>
      </c>
      <c r="B113" s="2" t="s">
        <v>25</v>
      </c>
      <c r="C113" s="21" t="s">
        <v>68</v>
      </c>
      <c r="F113" s="18">
        <f>-F106/F93</f>
        <v>0.19559652037213082</v>
      </c>
      <c r="G113" s="92">
        <f>-G106/G93</f>
        <v>0.18811898549411982</v>
      </c>
    </row>
    <row r="114" spans="1:8" x14ac:dyDescent="0.25">
      <c r="A114" s="10" t="s">
        <v>92</v>
      </c>
      <c r="B114" s="2" t="s">
        <v>69</v>
      </c>
      <c r="C114" s="21" t="s">
        <v>67</v>
      </c>
      <c r="F114" s="18">
        <f>-F110/F93</f>
        <v>8.3690521283805594E-2</v>
      </c>
      <c r="G114" s="92">
        <f>-G110/G93</f>
        <v>8.1185738276870936E-2</v>
      </c>
    </row>
    <row r="115" spans="1:8" x14ac:dyDescent="0.25">
      <c r="A115" s="10" t="s">
        <v>93</v>
      </c>
      <c r="B115" s="2" t="s">
        <v>70</v>
      </c>
      <c r="C115" s="35" t="s">
        <v>84</v>
      </c>
      <c r="D115" s="23"/>
      <c r="E115" s="22"/>
      <c r="F115" s="36">
        <f>F112+F113+F114</f>
        <v>0.93468944439858426</v>
      </c>
      <c r="G115" s="71">
        <f>G112+G113+G114</f>
        <v>0.93615544568591569</v>
      </c>
      <c r="H115" s="103"/>
    </row>
    <row r="116" spans="1:8" x14ac:dyDescent="0.25">
      <c r="F116" s="18"/>
      <c r="G116" s="73"/>
    </row>
    <row r="119" spans="1:8" x14ac:dyDescent="0.25">
      <c r="C119" s="52" t="s">
        <v>71</v>
      </c>
      <c r="F119" s="32" t="str">
        <f>+$E$3</f>
        <v>FY 2019</v>
      </c>
      <c r="G119" s="64" t="str">
        <f>+$G$3</f>
        <v>FY 2020</v>
      </c>
    </row>
    <row r="120" spans="1:8" x14ac:dyDescent="0.25">
      <c r="B120" s="2" t="s">
        <v>0</v>
      </c>
      <c r="C120" s="6" t="s">
        <v>133</v>
      </c>
      <c r="F120" s="8">
        <v>643.15199399999983</v>
      </c>
      <c r="G120" s="89">
        <v>663.70347374999994</v>
      </c>
    </row>
    <row r="121" spans="1:8" x14ac:dyDescent="0.25">
      <c r="B121" s="2" t="s">
        <v>1</v>
      </c>
      <c r="C121" s="6" t="s">
        <v>114</v>
      </c>
      <c r="F121" s="9">
        <v>-48.614919615000005</v>
      </c>
      <c r="G121" s="91">
        <v>-36.09375</v>
      </c>
    </row>
    <row r="122" spans="1:8" x14ac:dyDescent="0.25">
      <c r="A122" s="40" t="s">
        <v>103</v>
      </c>
      <c r="B122" s="1" t="s">
        <v>3</v>
      </c>
      <c r="C122" s="11" t="s">
        <v>117</v>
      </c>
      <c r="F122" s="13">
        <f>SUM(F120:F121)</f>
        <v>594.53707438499987</v>
      </c>
      <c r="G122" s="87">
        <f>SUM(G120:G121)</f>
        <v>627.60972374999994</v>
      </c>
    </row>
    <row r="123" spans="1:8" x14ac:dyDescent="0.25">
      <c r="A123" s="2"/>
      <c r="B123" s="1"/>
      <c r="C123" s="11"/>
      <c r="G123" s="89"/>
    </row>
    <row r="124" spans="1:8" x14ac:dyDescent="0.25">
      <c r="B124" s="1" t="s">
        <v>4</v>
      </c>
      <c r="C124" s="21" t="s">
        <v>132</v>
      </c>
      <c r="F124" s="8">
        <v>140877534.18356162</v>
      </c>
      <c r="G124" s="89">
        <v>138918140.74863392</v>
      </c>
    </row>
    <row r="125" spans="1:8" x14ac:dyDescent="0.25">
      <c r="A125" s="10" t="s">
        <v>111</v>
      </c>
      <c r="B125" s="2" t="s">
        <v>6</v>
      </c>
      <c r="C125" s="35" t="s">
        <v>74</v>
      </c>
      <c r="D125" s="23"/>
      <c r="E125" s="22"/>
      <c r="F125" s="37">
        <f>F122*1000000/F124</f>
        <v>4.2202404934936304</v>
      </c>
      <c r="G125" s="93">
        <f>G122*1000000/G124</f>
        <v>4.5178384937186236</v>
      </c>
    </row>
    <row r="129" spans="1:8" x14ac:dyDescent="0.25">
      <c r="C129" s="52" t="s">
        <v>72</v>
      </c>
      <c r="F129" s="32" t="str">
        <f>+$E$3</f>
        <v>FY 2019</v>
      </c>
      <c r="G129" s="64" t="str">
        <f>+$G$3&amp;"*"</f>
        <v>FY 2020*</v>
      </c>
    </row>
    <row r="130" spans="1:8" x14ac:dyDescent="0.25">
      <c r="B130" s="2" t="s">
        <v>0</v>
      </c>
      <c r="C130" s="6" t="s">
        <v>134</v>
      </c>
      <c r="F130" s="8">
        <v>267.4227181</v>
      </c>
      <c r="G130" s="89">
        <v>281.96031448000002</v>
      </c>
    </row>
    <row r="131" spans="1:8" x14ac:dyDescent="0.25">
      <c r="B131" s="2" t="s">
        <v>1</v>
      </c>
      <c r="C131" s="21" t="s">
        <v>116</v>
      </c>
      <c r="F131" s="9">
        <v>140748799</v>
      </c>
      <c r="G131" s="91">
        <v>137928303</v>
      </c>
    </row>
    <row r="132" spans="1:8" x14ac:dyDescent="0.25">
      <c r="A132" s="40" t="s">
        <v>26</v>
      </c>
      <c r="B132" s="1" t="s">
        <v>3</v>
      </c>
      <c r="C132" s="11" t="s">
        <v>73</v>
      </c>
      <c r="F132" s="41">
        <v>1.9</v>
      </c>
      <c r="G132" s="94">
        <f>G130*1000000/G131</f>
        <v>2.0442527628285254</v>
      </c>
    </row>
    <row r="133" spans="1:8" x14ac:dyDescent="0.25">
      <c r="C133" s="1" t="s">
        <v>115</v>
      </c>
    </row>
    <row r="136" spans="1:8" x14ac:dyDescent="0.25">
      <c r="C136" s="52" t="s">
        <v>75</v>
      </c>
      <c r="F136" s="32" t="str">
        <f>+$E$3</f>
        <v>FY 2019</v>
      </c>
      <c r="G136" s="64" t="str">
        <f>+$G$3</f>
        <v>FY 2020</v>
      </c>
    </row>
    <row r="137" spans="1:8" x14ac:dyDescent="0.25">
      <c r="B137" s="2" t="s">
        <v>0</v>
      </c>
      <c r="C137" s="6" t="s">
        <v>76</v>
      </c>
      <c r="F137" s="8">
        <v>911.87046765000002</v>
      </c>
      <c r="G137" s="89">
        <v>609.08515205999993</v>
      </c>
    </row>
    <row r="138" spans="1:8" x14ac:dyDescent="0.25">
      <c r="B138" s="2" t="s">
        <v>1</v>
      </c>
      <c r="C138" s="21" t="s">
        <v>132</v>
      </c>
      <c r="F138" s="9">
        <v>140877534.18356162</v>
      </c>
      <c r="G138" s="91">
        <v>138918140.74863392</v>
      </c>
    </row>
    <row r="139" spans="1:8" x14ac:dyDescent="0.25">
      <c r="A139" s="40" t="s">
        <v>26</v>
      </c>
      <c r="B139" s="1" t="s">
        <v>3</v>
      </c>
      <c r="C139" s="11" t="s">
        <v>77</v>
      </c>
      <c r="F139" s="41">
        <f>F137*1000000/F138</f>
        <v>6.472788389821222</v>
      </c>
      <c r="G139" s="94">
        <f>G137*1000000/G138</f>
        <v>4.3844896626000196</v>
      </c>
    </row>
    <row r="142" spans="1:8" x14ac:dyDescent="0.25">
      <c r="C142" s="52" t="s">
        <v>94</v>
      </c>
      <c r="F142" s="32" t="str">
        <f>+F129</f>
        <v>FY 2019</v>
      </c>
      <c r="G142" s="64" t="str">
        <f>+$G$3&amp;"*"</f>
        <v>FY 2020*</v>
      </c>
    </row>
    <row r="143" spans="1:8" x14ac:dyDescent="0.25">
      <c r="B143" s="2" t="s">
        <v>0</v>
      </c>
      <c r="C143" s="6" t="s">
        <v>131</v>
      </c>
      <c r="F143" s="30">
        <v>267.4227181</v>
      </c>
      <c r="G143" s="89">
        <v>281.96031448000002</v>
      </c>
      <c r="H143" s="53"/>
    </row>
    <row r="144" spans="1:8" x14ac:dyDescent="0.25">
      <c r="B144" s="2" t="s">
        <v>1</v>
      </c>
      <c r="C144" s="21" t="s">
        <v>129</v>
      </c>
      <c r="F144" s="34">
        <v>594.53707438499987</v>
      </c>
      <c r="G144" s="91">
        <v>627.60972374999994</v>
      </c>
      <c r="H144" s="53"/>
    </row>
    <row r="145" spans="1:8" x14ac:dyDescent="0.25">
      <c r="A145" s="40" t="s">
        <v>26</v>
      </c>
      <c r="B145" s="1" t="s">
        <v>3</v>
      </c>
      <c r="C145" s="11" t="s">
        <v>97</v>
      </c>
      <c r="F145" s="39">
        <f>F143/F144</f>
        <v>0.44979990251512403</v>
      </c>
      <c r="G145" s="90">
        <f>G143/G144</f>
        <v>0.44926058951934783</v>
      </c>
      <c r="H145" s="53"/>
    </row>
    <row r="146" spans="1:8" x14ac:dyDescent="0.25">
      <c r="C146" s="1" t="s">
        <v>115</v>
      </c>
      <c r="F146" s="28"/>
      <c r="G146" s="83"/>
    </row>
    <row r="147" spans="1:8" x14ac:dyDescent="0.25">
      <c r="F147" s="28"/>
      <c r="G147" s="83"/>
    </row>
    <row r="149" spans="1:8" ht="14.25" customHeight="1" x14ac:dyDescent="0.25">
      <c r="C149" s="52" t="s">
        <v>95</v>
      </c>
      <c r="F149" s="32" t="str">
        <f>+$E$3</f>
        <v>FY 2019</v>
      </c>
      <c r="G149" s="64" t="str">
        <f>+$G$3</f>
        <v>FY 2020</v>
      </c>
    </row>
    <row r="150" spans="1:8" x14ac:dyDescent="0.25">
      <c r="B150" s="2" t="s">
        <v>0</v>
      </c>
      <c r="C150" s="6" t="s">
        <v>98</v>
      </c>
      <c r="F150" s="30">
        <v>2479.4417667399998</v>
      </c>
      <c r="G150" s="89">
        <v>2749.3250249499997</v>
      </c>
    </row>
    <row r="151" spans="1:8" x14ac:dyDescent="0.25">
      <c r="B151" s="2" t="s">
        <v>1</v>
      </c>
      <c r="C151" s="21" t="s">
        <v>125</v>
      </c>
      <c r="F151" s="34">
        <v>66.918588100000008</v>
      </c>
      <c r="G151" s="91">
        <v>225.40994698</v>
      </c>
    </row>
    <row r="152" spans="1:8" ht="15.75" x14ac:dyDescent="0.25">
      <c r="A152" s="40" t="s">
        <v>99</v>
      </c>
      <c r="B152" s="1" t="s">
        <v>3</v>
      </c>
      <c r="C152" s="11" t="s">
        <v>100</v>
      </c>
      <c r="F152" s="17">
        <v>3.9701839492979119E-2</v>
      </c>
      <c r="G152" s="71">
        <f>(G150-G151)/(F150-F151)-1</f>
        <v>4.6172364400989707E-2</v>
      </c>
    </row>
    <row r="153" spans="1:8" x14ac:dyDescent="0.25">
      <c r="C153" s="104" t="s">
        <v>126</v>
      </c>
    </row>
    <row r="155" spans="1:8" ht="14.25" customHeight="1" x14ac:dyDescent="0.25">
      <c r="C155" s="52" t="s">
        <v>96</v>
      </c>
      <c r="E155" s="32" t="str">
        <f>$D$8</f>
        <v>FY 2018</v>
      </c>
      <c r="F155" s="32" t="str">
        <f>$F$8</f>
        <v>FY 2019</v>
      </c>
      <c r="G155" s="64" t="str">
        <f>+$G$3</f>
        <v>FY 2020</v>
      </c>
    </row>
    <row r="156" spans="1:8" x14ac:dyDescent="0.25">
      <c r="A156" s="55"/>
      <c r="B156" s="2" t="s">
        <v>0</v>
      </c>
      <c r="C156" s="56" t="s">
        <v>101</v>
      </c>
      <c r="E156" s="15">
        <v>30813.731466380003</v>
      </c>
      <c r="F156" s="15">
        <v>34953.706248129994</v>
      </c>
      <c r="G156" s="69">
        <v>37504.73199031</v>
      </c>
    </row>
    <row r="157" spans="1:8" x14ac:dyDescent="0.25">
      <c r="A157" s="55"/>
      <c r="B157" s="2" t="s">
        <v>1</v>
      </c>
      <c r="C157" s="56" t="s">
        <v>102</v>
      </c>
      <c r="E157" s="9">
        <v>10221.992047950002</v>
      </c>
      <c r="F157" s="9">
        <v>12476.96644805</v>
      </c>
      <c r="G157" s="66">
        <v>13137.074785779998</v>
      </c>
    </row>
    <row r="158" spans="1:8" s="23" customFormat="1" x14ac:dyDescent="0.25">
      <c r="A158" s="10" t="s">
        <v>103</v>
      </c>
      <c r="B158" s="2" t="s">
        <v>3</v>
      </c>
      <c r="C158" s="105" t="s">
        <v>113</v>
      </c>
      <c r="E158" s="19">
        <f>E156+E157</f>
        <v>41035.723514330006</v>
      </c>
      <c r="F158" s="19">
        <f t="shared" ref="F158:G158" si="0">F156+F157</f>
        <v>47430.672696179994</v>
      </c>
      <c r="G158" s="75">
        <f t="shared" si="0"/>
        <v>50641.806776090001</v>
      </c>
    </row>
    <row r="159" spans="1:8" x14ac:dyDescent="0.25">
      <c r="A159" s="55"/>
      <c r="B159" s="2" t="s">
        <v>4</v>
      </c>
      <c r="C159" s="57" t="s">
        <v>104</v>
      </c>
      <c r="E159" s="15">
        <v>2914.0563928000001</v>
      </c>
      <c r="F159" s="15">
        <v>6751.9102415699999</v>
      </c>
      <c r="G159" s="69">
        <v>9671.7954851699997</v>
      </c>
    </row>
    <row r="160" spans="1:8" x14ac:dyDescent="0.25">
      <c r="A160" s="55"/>
      <c r="B160" s="2" t="s">
        <v>6</v>
      </c>
      <c r="C160" s="57" t="s">
        <v>105</v>
      </c>
      <c r="E160" s="15">
        <v>2897.4656594700004</v>
      </c>
      <c r="F160" s="15">
        <v>2480.22950317</v>
      </c>
      <c r="G160" s="69">
        <v>2240.5734621900001</v>
      </c>
    </row>
    <row r="161" spans="1:7" x14ac:dyDescent="0.25">
      <c r="A161" s="55"/>
      <c r="B161" s="2" t="s">
        <v>8</v>
      </c>
      <c r="C161" s="58" t="s">
        <v>106</v>
      </c>
      <c r="E161" s="9">
        <v>822.798</v>
      </c>
      <c r="F161" s="9">
        <v>733.48230586474779</v>
      </c>
      <c r="G161" s="66">
        <v>702.10416155094811</v>
      </c>
    </row>
    <row r="162" spans="1:7" x14ac:dyDescent="0.25">
      <c r="A162" s="10" t="s">
        <v>107</v>
      </c>
      <c r="B162" s="2" t="s">
        <v>10</v>
      </c>
      <c r="C162" s="59" t="s">
        <v>108</v>
      </c>
      <c r="E162" s="19">
        <f>E158-(E159+E160+E161)</f>
        <v>34401.403462060007</v>
      </c>
      <c r="F162" s="19">
        <f t="shared" ref="F162:G162" si="1">F158-(F159+F160+F161)</f>
        <v>37465.050645575247</v>
      </c>
      <c r="G162" s="75">
        <f t="shared" si="1"/>
        <v>38027.333667179053</v>
      </c>
    </row>
    <row r="163" spans="1:7" x14ac:dyDescent="0.25">
      <c r="A163" s="54" t="s">
        <v>50</v>
      </c>
      <c r="B163" s="2" t="s">
        <v>11</v>
      </c>
      <c r="C163" s="59" t="s">
        <v>109</v>
      </c>
      <c r="F163" s="19">
        <f>AVERAGE(E162,F162)</f>
        <v>35933.227053817624</v>
      </c>
      <c r="G163" s="75">
        <f>AVERAGE(F162,G162)</f>
        <v>37746.192156377147</v>
      </c>
    </row>
    <row r="164" spans="1:7" x14ac:dyDescent="0.25">
      <c r="C164" s="60"/>
      <c r="F164" s="15"/>
      <c r="G164" s="69"/>
    </row>
    <row r="165" spans="1:7" x14ac:dyDescent="0.25">
      <c r="A165" s="55"/>
      <c r="B165" s="2" t="s">
        <v>12</v>
      </c>
      <c r="C165" s="60" t="s">
        <v>130</v>
      </c>
      <c r="F165" s="15">
        <v>-191.55249800000001</v>
      </c>
      <c r="G165" s="69">
        <v>-170.81138095</v>
      </c>
    </row>
    <row r="166" spans="1:7" x14ac:dyDescent="0.25">
      <c r="C166" s="61"/>
      <c r="F166" s="15"/>
      <c r="G166" s="69"/>
    </row>
    <row r="167" spans="1:7" s="23" customFormat="1" x14ac:dyDescent="0.25">
      <c r="A167" s="10" t="s">
        <v>112</v>
      </c>
      <c r="B167" s="2" t="s">
        <v>21</v>
      </c>
      <c r="C167" s="62" t="s">
        <v>110</v>
      </c>
      <c r="E167" s="22"/>
      <c r="F167" s="19">
        <f>-F165/F163*10000</f>
        <v>53.307902937053093</v>
      </c>
      <c r="G167" s="75">
        <f>-G165/G163*10000</f>
        <v>45.252612566150397</v>
      </c>
    </row>
  </sheetData>
  <pageMargins left="0.25" right="0.25" top="0.75" bottom="0.75" header="0.3" footer="0.3"/>
  <pageSetup paperSize="256" scale="69" fitToHeight="0" orientation="portrait" r:id="rId1"/>
  <rowBreaks count="1" manualBreakCount="1">
    <brk id="61" max="6" man="1"/>
  </rowBreaks>
  <ignoredErrors>
    <ignoredError sqref="F11:G16 D21:E22 F78:G79 F153:G155 G8 F19:G22 F17:F18 D25:G32 F40:G41 F43:G47 F52:G53 F56:G57 F81:G86 F92:G92 F94:G94 F96:G96 F99:G103 F106:G107 F110:G111 F122:G123 F125:G129 F133:G136 F139:G141 F145:G149 F158:G158 F162:G164 F166:G167 G142 G152 G48 F10 F113:G119 F112 G132 F59:G75 G58 F89:G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FY 2020</vt:lpstr>
      <vt:lpstr>'FY 2020'!Afdrukbereik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Warmerdam Y.E.L. (Yvo)</cp:lastModifiedBy>
  <cp:lastPrinted>2017-08-16T11:38:27Z</cp:lastPrinted>
  <dcterms:created xsi:type="dcterms:W3CDTF">2016-06-20T09:01:04Z</dcterms:created>
  <dcterms:modified xsi:type="dcterms:W3CDTF">2021-02-17T13:24:44Z</dcterms:modified>
</cp:coreProperties>
</file>