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HY 2021\3. Tabellen website\"/>
    </mc:Choice>
  </mc:AlternateContent>
  <xr:revisionPtr revIDLastSave="0" documentId="13_ncr:1_{B5A0ABA7-E270-4596-A36D-6B88B64A1A9E}" xr6:coauthVersionLast="45" xr6:coauthVersionMax="45" xr10:uidLastSave="{00000000-0000-0000-0000-000000000000}"/>
  <bookViews>
    <workbookView xWindow="4545" yWindow="1395" windowWidth="21600" windowHeight="12855" xr2:uid="{00000000-000D-0000-FFFF-FFFF00000000}"/>
  </bookViews>
  <sheets>
    <sheet name="HY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'HY 2021'!$A$1:$G$119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C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38" i="1"/>
  <c r="F20" i="1"/>
  <c r="G110" i="1" l="1"/>
  <c r="G125" i="1" l="1"/>
  <c r="G10" i="1"/>
  <c r="F45" i="1" l="1"/>
  <c r="F110" i="1" l="1"/>
  <c r="E130" i="1" l="1"/>
  <c r="G130" i="1"/>
  <c r="G122" i="1" l="1"/>
  <c r="F122" i="1"/>
  <c r="G116" i="1" l="1"/>
  <c r="G101" i="1"/>
  <c r="G75" i="1"/>
  <c r="G69" i="1"/>
  <c r="G58" i="1"/>
  <c r="G45" i="1"/>
  <c r="G31" i="1"/>
  <c r="F116" i="1"/>
  <c r="F101" i="1"/>
  <c r="F75" i="1"/>
  <c r="D20" i="1" l="1"/>
  <c r="G8" i="1" l="1"/>
  <c r="E8" i="1"/>
  <c r="F130" i="1" l="1"/>
  <c r="F69" i="1"/>
  <c r="F31" i="1"/>
  <c r="F58" i="1"/>
  <c r="G15" i="1" l="1"/>
  <c r="G20" i="1" s="1"/>
  <c r="E20" i="1"/>
  <c r="G72" i="1" l="1"/>
  <c r="G49" i="1" l="1"/>
  <c r="G34" i="1" l="1"/>
  <c r="G38" i="1" s="1"/>
  <c r="G53" i="1" l="1"/>
  <c r="G55" i="1" s="1"/>
  <c r="G24" i="1"/>
  <c r="G133" i="1" l="1"/>
  <c r="F133" i="1" l="1"/>
  <c r="F137" i="1" l="1"/>
  <c r="F34" i="1"/>
  <c r="F38" i="1" s="1"/>
  <c r="F21" i="1"/>
  <c r="F24" i="1" l="1"/>
  <c r="G25" i="1" s="1"/>
  <c r="F42" i="1"/>
  <c r="F61" i="1"/>
  <c r="F65" i="1" l="1"/>
  <c r="F66" i="1"/>
  <c r="G42" i="1" l="1"/>
  <c r="G61" i="1"/>
  <c r="G66" i="1" l="1"/>
  <c r="G65" i="1"/>
  <c r="E133" i="1" l="1"/>
  <c r="F93" i="1"/>
  <c r="F97" i="1" s="1"/>
  <c r="F83" i="1"/>
  <c r="F53" i="1"/>
  <c r="E21" i="1"/>
  <c r="F49" i="1" l="1"/>
  <c r="F55" i="1" s="1"/>
  <c r="F89" i="1"/>
  <c r="F96" i="1" s="1"/>
  <c r="E24" i="1"/>
  <c r="F85" i="1"/>
  <c r="F95" i="1" s="1"/>
  <c r="E6" i="1"/>
  <c r="F72" i="1"/>
  <c r="F119" i="1"/>
  <c r="F98" i="1" l="1"/>
  <c r="G6" i="1" l="1"/>
  <c r="G12" i="1" s="1"/>
  <c r="E137" i="1" l="1"/>
  <c r="F138" i="1" s="1"/>
  <c r="F142" i="1" s="1"/>
  <c r="E10" i="1" l="1"/>
  <c r="E12" i="1" s="1"/>
  <c r="D21" i="1"/>
  <c r="D24" i="1" s="1"/>
  <c r="E25" i="1" s="1"/>
  <c r="G113" i="1" l="1"/>
  <c r="G137" i="1" l="1"/>
  <c r="G142" i="1" s="1"/>
  <c r="E18" i="1" l="1"/>
  <c r="E27" i="1" l="1"/>
  <c r="F104" i="1"/>
  <c r="F107" i="1" l="1"/>
  <c r="G18" i="1"/>
  <c r="G27" i="1" l="1"/>
  <c r="G104" i="1"/>
  <c r="G107" i="1" l="1"/>
  <c r="G119" i="1"/>
  <c r="G93" i="1" l="1"/>
  <c r="G97" i="1" s="1"/>
  <c r="G83" i="1"/>
  <c r="G85" i="1" s="1"/>
  <c r="G95" i="1" s="1"/>
  <c r="G89" i="1" l="1"/>
  <c r="G96" i="1" s="1"/>
  <c r="G98" i="1" s="1"/>
</calcChain>
</file>

<file path=xl/sharedStrings.xml><?xml version="1.0" encoding="utf-8"?>
<sst xmlns="http://schemas.openxmlformats.org/spreadsheetml/2006/main" count="218" uniqueCount="136">
  <si>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</si>
  <si>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</si>
  <si>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</si>
  <si>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</si>
  <si>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</si>
  <si>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</si>
  <si>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</si>
  <si>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</si>
  <si>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</si>
  <si>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</si>
  <si>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</si>
  <si>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</si>
  <si>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</si>
  <si>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 ratio</t>
  </si>
  <si>
    <t>Double leverage</t>
  </si>
  <si>
    <t>d / c =</t>
  </si>
  <si>
    <t>Double leverage (%)</t>
  </si>
  <si>
    <t>d - c =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</si>
  <si>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</si>
  <si>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</si>
  <si>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</si>
  <si>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</si>
  <si>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</si>
  <si>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</si>
  <si>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</si>
  <si>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</si>
  <si>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Total equity attributable to shareholders</t>
  </si>
  <si>
    <t>Average total equity attributable to shareholders</t>
  </si>
  <si>
    <t>Return on equity</t>
  </si>
  <si>
    <t>Average total equity attributable to shareholders - adjusted</t>
  </si>
  <si>
    <t>Operating return on equity</t>
  </si>
  <si>
    <t>Financial leverage</t>
  </si>
  <si>
    <t>5% hybrid</t>
  </si>
  <si>
    <t>Senior loan</t>
  </si>
  <si>
    <t>Total debt</t>
  </si>
  <si>
    <t>Financial leverage (%)</t>
  </si>
  <si>
    <t>Hybrid capital (T1, T2)</t>
  </si>
  <si>
    <t>Total interest expenses</t>
  </si>
  <si>
    <t>Total available capital</t>
  </si>
  <si>
    <t>Total invested capital</t>
  </si>
  <si>
    <t>Eligible own funds</t>
  </si>
  <si>
    <t>Result before tax and interest expenses</t>
  </si>
  <si>
    <t>Subordinated loans</t>
  </si>
  <si>
    <t>5.125% subordinated liability</t>
  </si>
  <si>
    <t>Hybrid capital</t>
  </si>
  <si>
    <t>d + e + f =</t>
  </si>
  <si>
    <t>average g =</t>
  </si>
  <si>
    <t>c / h =</t>
  </si>
  <si>
    <t>e + f =</t>
  </si>
  <si>
    <t>g / d =</t>
  </si>
  <si>
    <t>a.s.r.</t>
  </si>
  <si>
    <t>Net insurance claims and benefits</t>
  </si>
  <si>
    <t>Compensation capital gains (Disability)</t>
  </si>
  <si>
    <t>Interest accrual on provisions (Disability)</t>
  </si>
  <si>
    <t>Total corrections</t>
  </si>
  <si>
    <t>Net insurance claims and benefits (after corrections)</t>
  </si>
  <si>
    <t>Fee and commission income</t>
  </si>
  <si>
    <t>Acquisitions costs</t>
  </si>
  <si>
    <t>Commission</t>
  </si>
  <si>
    <t>Operational expenses</t>
  </si>
  <si>
    <t>Correction made for investment charges</t>
  </si>
  <si>
    <t>Operational costs (after corrections)</t>
  </si>
  <si>
    <t>Claims ratio</t>
  </si>
  <si>
    <t>Expense ratio</t>
  </si>
  <si>
    <t>Commission ratio</t>
  </si>
  <si>
    <t>o</t>
  </si>
  <si>
    <t>p</t>
  </si>
  <si>
    <t>Operating result per share</t>
  </si>
  <si>
    <t>Dividend per share (€)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</si>
  <si>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</si>
  <si>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</si>
  <si>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</si>
  <si>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</si>
  <si>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Result before taxes</t>
  </si>
  <si>
    <t>Double leverage (€ m)</t>
  </si>
  <si>
    <t>Equity of discontinued operations (Bank) and non-core (Real Estate Development)</t>
  </si>
  <si>
    <t>3.375% subordinated liability</t>
  </si>
  <si>
    <t>Solvency II ratio (standard formula)</t>
  </si>
  <si>
    <t>Combined ratio P&amp;C and Disability</t>
  </si>
  <si>
    <t>Net insurance premium</t>
  </si>
  <si>
    <t>c + d =</t>
  </si>
  <si>
    <t>b + e =</t>
  </si>
  <si>
    <t>g + h =</t>
  </si>
  <si>
    <t>j + k =</t>
  </si>
  <si>
    <t>-f / a =</t>
  </si>
  <si>
    <t>-i / a =</t>
  </si>
  <si>
    <t>-l / a =</t>
  </si>
  <si>
    <t>m + n + o =</t>
  </si>
  <si>
    <t>Organic growth gross written premiums P&amp;C and Disability</t>
  </si>
  <si>
    <t>Life operating expenses on basic provision</t>
  </si>
  <si>
    <t>GWP P&amp;C and Disability</t>
  </si>
  <si>
    <r>
      <t>(a-b)</t>
    </r>
    <r>
      <rPr>
        <vertAlign val="subscript"/>
        <sz val="10"/>
        <color theme="1"/>
        <rFont val="Arial"/>
        <family val="2"/>
      </rPr>
      <t xml:space="preserve">t </t>
    </r>
    <r>
      <rPr>
        <sz val="10"/>
        <color theme="1"/>
        <rFont val="Arial"/>
        <family val="2"/>
      </rPr>
      <t>/ (a-b)</t>
    </r>
    <r>
      <rPr>
        <vertAlign val="subscript"/>
        <sz val="10"/>
        <color theme="1"/>
        <rFont val="Arial"/>
        <family val="2"/>
      </rPr>
      <t>t-1</t>
    </r>
    <r>
      <rPr>
        <sz val="10"/>
        <color theme="1"/>
        <rFont val="Arial"/>
        <family val="2"/>
      </rPr>
      <t xml:space="preserve"> -1</t>
    </r>
  </si>
  <si>
    <t>GWP organic growth rate (% vs same period last year)</t>
  </si>
  <si>
    <t>Liabilities arising from insurance contracts</t>
  </si>
  <si>
    <t>Liabilities arising from insurance contracts on behalf of policyholders</t>
  </si>
  <si>
    <t>a+b =</t>
  </si>
  <si>
    <t>-/- shadow accounting reserve</t>
  </si>
  <si>
    <t>-/- realised gains reserve</t>
  </si>
  <si>
    <t>-/- other reserves</t>
  </si>
  <si>
    <t>c-(d+e+f) =</t>
  </si>
  <si>
    <t>Basic provision Life</t>
  </si>
  <si>
    <t>Average basic provision Life</t>
  </si>
  <si>
    <t>Life operating expenses on basic life provision per annum (bps)</t>
  </si>
  <si>
    <t>c / d =</t>
  </si>
  <si>
    <t>Total technical provision Life</t>
  </si>
  <si>
    <t>Number of shares outstanding (end of period)</t>
  </si>
  <si>
    <t>Operating net result excl. costs for hybrid capital</t>
  </si>
  <si>
    <t>Unrealised gains / losses (as part of equity)</t>
  </si>
  <si>
    <t>Total equity attributable to shareholders (excl, unrealised gains / losses and discontinued operations)</t>
  </si>
  <si>
    <t>FY 2019</t>
  </si>
  <si>
    <t>GWP Acquisitions in reporting year (P&amp;C and Disability) *</t>
  </si>
  <si>
    <t>FY 2020</t>
  </si>
  <si>
    <t>Number of shares outstanding (weighted average)</t>
  </si>
  <si>
    <t>Operating net result</t>
  </si>
  <si>
    <t>Net result excl. costs for hybrid capital</t>
  </si>
  <si>
    <t>HY 2021</t>
  </si>
  <si>
    <t>HALF YEAR 2021 AND 2020</t>
  </si>
  <si>
    <t>HY 2020</t>
  </si>
  <si>
    <t>Other equity instruments (hybrid) and subordinated loans</t>
  </si>
  <si>
    <t>Solvency II ratio (after proposed (interim) dividend)</t>
  </si>
  <si>
    <t>Net result (annualised)</t>
  </si>
  <si>
    <t>Costs for hybrid capital (annualised)</t>
  </si>
  <si>
    <t>Operating net result (annualised)</t>
  </si>
  <si>
    <t>Costs for hybrid capital (net, 50% of annualised costs)</t>
  </si>
  <si>
    <t>Interim dividend per share</t>
  </si>
  <si>
    <t>Interim dividend</t>
  </si>
  <si>
    <t>* For 2020 acquisitions relate to Loyalis/Veherex, as the closing was on the 1st of May 2019 and 1st of January 2020 respectively</t>
  </si>
  <si>
    <t xml:space="preserve">  For 2021 all GWP growth is organic as the most recent acquisition is fully contributing to last year's GWP</t>
  </si>
  <si>
    <t>Operating expenses Life (2021 annualised)</t>
  </si>
  <si>
    <t>Costs for hybrid capital (net, annualised) *</t>
  </si>
  <si>
    <t>* HY 2020 restated due to tax deductibility of costs for restricted tier 1 capital</t>
  </si>
  <si>
    <t>HY 2020*</t>
  </si>
  <si>
    <t>c + d + e + f =</t>
  </si>
  <si>
    <t>g / (g + h) =</t>
  </si>
  <si>
    <t>4,625% hybrid</t>
  </si>
  <si>
    <t>-i / h *10.000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</si>
</sst>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69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 style="medium">
        <color theme="0"/>
      </right>
      <top style="thin">
        <color indexed="64"/>
      </top>
      <bottom/>
      <diagonal/>
    </border>
    <border>
      <left/>
      <right style="thick">
        <color theme="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  <xf numFmtId="0" fontId="11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32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9" fontId="5" fillId="0" borderId="0" xfId="2" applyFont="1" applyFill="1" applyBorder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166" fontId="8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vertical="top"/>
    </xf>
    <xf numFmtId="164" fontId="4" fillId="2" borderId="0" xfId="1" applyNumberFormat="1" applyFont="1" applyFill="1" applyAlignment="1">
      <alignment horizontal="right" vertical="top"/>
    </xf>
    <xf numFmtId="164" fontId="10" fillId="0" borderId="0" xfId="1" applyNumberFormat="1" applyFont="1" applyFill="1" applyAlignment="1">
      <alignment vertical="top"/>
    </xf>
    <xf numFmtId="164" fontId="4" fillId="0" borderId="0" xfId="1" quotePrefix="1" applyNumberFormat="1" applyFont="1" applyFill="1" applyAlignment="1">
      <alignment vertical="top" wrapText="1"/>
    </xf>
    <xf numFmtId="3" fontId="9" fillId="2" borderId="3" xfId="10" quotePrefix="1" applyNumberFormat="1" applyFont="1" applyFill="1" applyBorder="1" applyAlignment="1">
      <alignment vertical="top"/>
    </xf>
    <xf numFmtId="169" fontId="4" fillId="2" borderId="0" xfId="10" quotePrefix="1" applyNumberFormat="1" applyFont="1" applyFill="1" applyBorder="1" applyAlignment="1">
      <alignment horizontal="left" vertical="top" wrapText="1" indent="1"/>
    </xf>
    <xf numFmtId="0" fontId="4" fillId="2" borderId="0" xfId="0" quotePrefix="1" applyFont="1" applyFill="1" applyBorder="1" applyAlignment="1">
      <alignment horizontal="left" vertical="top" indent="1"/>
    </xf>
    <xf numFmtId="0" fontId="4" fillId="0" borderId="0" xfId="0" quotePrefix="1" applyFont="1" applyBorder="1" applyAlignment="1">
      <alignment horizontal="left" vertical="top" indent="1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quotePrefix="1" applyFont="1" applyFill="1" applyBorder="1" applyAlignment="1">
      <alignment horizontal="right" vertical="top"/>
    </xf>
    <xf numFmtId="0" fontId="5" fillId="0" borderId="0" xfId="0" quotePrefix="1" applyFont="1" applyFill="1" applyBorder="1" applyAlignment="1">
      <alignment horizontal="left" vertical="top" wrapText="1"/>
    </xf>
    <xf numFmtId="168" fontId="7" fillId="0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165" fontId="2" fillId="3" borderId="1" xfId="1" applyNumberFormat="1" applyFont="1" applyFill="1" applyBorder="1" applyAlignment="1">
      <alignment horizontal="right" vertical="top"/>
    </xf>
    <xf numFmtId="165" fontId="7" fillId="3" borderId="0" xfId="1" applyNumberFormat="1" applyFont="1" applyFill="1" applyAlignment="1">
      <alignment horizontal="right" vertical="top"/>
    </xf>
    <xf numFmtId="168" fontId="7" fillId="3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Border="1" applyAlignment="1">
      <alignment horizontal="right" vertical="top"/>
    </xf>
    <xf numFmtId="164" fontId="2" fillId="3" borderId="0" xfId="1" applyNumberFormat="1" applyFont="1" applyFill="1" applyAlignment="1">
      <alignment horizontal="right" vertical="top"/>
    </xf>
    <xf numFmtId="166" fontId="7" fillId="3" borderId="0" xfId="2" applyNumberFormat="1" applyFont="1" applyFill="1" applyBorder="1" applyAlignment="1">
      <alignment horizontal="right" vertical="top"/>
    </xf>
    <xf numFmtId="166" fontId="7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3" borderId="2" xfId="1" applyNumberFormat="1" applyFont="1" applyFill="1" applyBorder="1" applyAlignment="1">
      <alignment horizontal="right" vertical="top"/>
    </xf>
    <xf numFmtId="165" fontId="7" fillId="3" borderId="0" xfId="1" applyNumberFormat="1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right" vertical="top"/>
    </xf>
    <xf numFmtId="164" fontId="2" fillId="3" borderId="0" xfId="1" applyNumberFormat="1" applyFont="1" applyFill="1" applyAlignment="1">
      <alignment vertical="top"/>
    </xf>
    <xf numFmtId="165" fontId="2" fillId="3" borderId="0" xfId="1" applyNumberFormat="1" applyFont="1" applyFill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5" fontId="7" fillId="3" borderId="0" xfId="1" applyNumberFormat="1" applyFont="1" applyFill="1" applyAlignment="1">
      <alignment vertical="top"/>
    </xf>
    <xf numFmtId="164" fontId="7" fillId="3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0" fontId="2" fillId="3" borderId="0" xfId="0" applyFont="1" applyFill="1" applyBorder="1" applyAlignment="1">
      <alignment horizontal="right" vertical="top"/>
    </xf>
    <xf numFmtId="165" fontId="7" fillId="3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2" fillId="3" borderId="0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6" fontId="2" fillId="3" borderId="0" xfId="2" applyNumberFormat="1" applyFont="1" applyFill="1" applyBorder="1" applyAlignment="1">
      <alignment horizontal="right" vertical="top"/>
    </xf>
    <xf numFmtId="43" fontId="7" fillId="3" borderId="0" xfId="0" applyNumberFormat="1" applyFont="1" applyFill="1" applyBorder="1" applyAlignment="1">
      <alignment horizontal="right" vertical="top"/>
    </xf>
    <xf numFmtId="43" fontId="7" fillId="3" borderId="0" xfId="1" applyNumberFormat="1" applyFont="1" applyFill="1" applyAlignment="1">
      <alignment horizontal="right" vertical="top"/>
    </xf>
    <xf numFmtId="165" fontId="2" fillId="3" borderId="4" xfId="1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 wrapText="1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64" fontId="13" fillId="0" borderId="0" xfId="1" applyNumberFormat="1" applyFont="1" applyFill="1" applyAlignment="1">
      <alignment vertical="top"/>
    </xf>
    <xf numFmtId="10" fontId="4" fillId="0" borderId="0" xfId="2" applyNumberFormat="1" applyFont="1" applyFill="1" applyAlignment="1">
      <alignment vertical="top"/>
    </xf>
    <xf numFmtId="164" fontId="14" fillId="0" borderId="0" xfId="1" applyNumberFormat="1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166" fontId="4" fillId="0" borderId="0" xfId="2" applyNumberFormat="1" applyFont="1" applyFill="1" applyAlignment="1">
      <alignment vertical="top"/>
    </xf>
    <xf numFmtId="164" fontId="14" fillId="0" borderId="0" xfId="1" quotePrefix="1" applyNumberFormat="1" applyFont="1" applyFill="1" applyAlignment="1">
      <alignment vertical="top"/>
    </xf>
    <xf numFmtId="9" fontId="7" fillId="3" borderId="0" xfId="2" applyFont="1" applyFill="1" applyBorder="1" applyAlignment="1">
      <alignment horizontal="right" vertical="top"/>
    </xf>
    <xf numFmtId="0" fontId="7" fillId="4" borderId="0" xfId="9" applyFont="1" applyFill="1" applyAlignment="1">
      <alignment vertical="center"/>
    </xf>
    <xf numFmtId="0" fontId="5" fillId="0" borderId="5" xfId="0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vertical="top"/>
    </xf>
    <xf numFmtId="168" fontId="5" fillId="0" borderId="6" xfId="1" applyNumberFormat="1" applyFont="1" applyFill="1" applyBorder="1" applyAlignment="1">
      <alignment horizontal="right" vertical="top" wrapText="1"/>
    </xf>
    <xf numFmtId="164" fontId="4" fillId="0" borderId="7" xfId="1" applyNumberFormat="1" applyFont="1" applyFill="1" applyBorder="1" applyAlignment="1">
      <alignment vertical="top"/>
    </xf>
    <xf numFmtId="165" fontId="4" fillId="0" borderId="8" xfId="1" applyNumberFormat="1" applyFont="1" applyFill="1" applyBorder="1" applyAlignment="1">
      <alignment vertical="top"/>
    </xf>
    <xf numFmtId="0" fontId="5" fillId="0" borderId="5" xfId="0" applyFont="1" applyFill="1" applyBorder="1" applyAlignment="1">
      <alignment horizontal="right" vertical="top"/>
    </xf>
    <xf numFmtId="165" fontId="5" fillId="0" borderId="5" xfId="1" applyNumberFormat="1" applyFont="1" applyFill="1" applyBorder="1" applyAlignment="1">
      <alignment horizontal="right" vertical="top"/>
    </xf>
    <xf numFmtId="166" fontId="5" fillId="0" borderId="5" xfId="2" applyNumberFormat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165" fontId="4" fillId="0" borderId="8" xfId="1" applyNumberFormat="1" applyFont="1" applyFill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right" vertical="top"/>
    </xf>
    <xf numFmtId="168" fontId="5" fillId="0" borderId="12" xfId="1" applyNumberFormat="1" applyFont="1" applyFill="1" applyBorder="1" applyAlignment="1">
      <alignment horizontal="right" vertical="top" wrapText="1"/>
    </xf>
    <xf numFmtId="165" fontId="4" fillId="0" borderId="9" xfId="1" applyNumberFormat="1" applyFont="1" applyFill="1" applyBorder="1" applyAlignment="1">
      <alignment horizontal="right" vertical="top"/>
    </xf>
    <xf numFmtId="165" fontId="5" fillId="0" borderId="8" xfId="1" applyNumberFormat="1" applyFont="1" applyFill="1" applyBorder="1" applyAlignment="1">
      <alignment horizontal="right" vertical="top"/>
    </xf>
    <xf numFmtId="166" fontId="7" fillId="3" borderId="11" xfId="2" applyNumberFormat="1" applyFont="1" applyFill="1" applyBorder="1" applyAlignment="1">
      <alignment vertical="top"/>
    </xf>
    <xf numFmtId="166" fontId="5" fillId="0" borderId="5" xfId="2" applyNumberFormat="1" applyFont="1" applyFill="1" applyBorder="1" applyAlignment="1">
      <alignment vertical="top"/>
    </xf>
    <xf numFmtId="165" fontId="2" fillId="3" borderId="13" xfId="1" applyNumberFormat="1" applyFont="1" applyFill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10" xfId="1" applyNumberFormat="1" applyFont="1" applyFill="1" applyBorder="1" applyAlignment="1">
      <alignment vertical="top"/>
    </xf>
    <xf numFmtId="165" fontId="4" fillId="0" borderId="14" xfId="1" applyNumberFormat="1" applyFont="1" applyFill="1" applyBorder="1" applyAlignment="1">
      <alignment horizontal="right" vertical="top"/>
    </xf>
    <xf numFmtId="165" fontId="5" fillId="0" borderId="15" xfId="1" applyNumberFormat="1" applyFont="1" applyFill="1" applyBorder="1" applyAlignment="1">
      <alignment vertical="top"/>
    </xf>
    <xf numFmtId="168" fontId="5" fillId="0" borderId="17" xfId="1" applyNumberFormat="1" applyFont="1" applyFill="1" applyBorder="1" applyAlignment="1">
      <alignment horizontal="right" vertical="top" wrapText="1"/>
    </xf>
    <xf numFmtId="164" fontId="5" fillId="0" borderId="18" xfId="1" applyNumberFormat="1" applyFont="1" applyFill="1" applyBorder="1" applyAlignment="1">
      <alignment vertical="top"/>
    </xf>
    <xf numFmtId="168" fontId="5" fillId="0" borderId="19" xfId="1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9" fontId="5" fillId="0" borderId="5" xfId="2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5" fontId="5" fillId="0" borderId="8" xfId="0" applyNumberFormat="1" applyFont="1" applyFill="1" applyBorder="1" applyAlignment="1">
      <alignment horizontal="right" vertical="top"/>
    </xf>
    <xf numFmtId="165" fontId="4" fillId="0" borderId="9" xfId="0" applyNumberFormat="1" applyFont="1" applyFill="1" applyBorder="1" applyAlignment="1">
      <alignment horizontal="right" vertical="top"/>
    </xf>
    <xf numFmtId="166" fontId="4" fillId="0" borderId="5" xfId="2" applyNumberFormat="1" applyFont="1" applyFill="1" applyBorder="1" applyAlignment="1">
      <alignment horizontal="right" vertical="top"/>
    </xf>
    <xf numFmtId="168" fontId="5" fillId="0" borderId="9" xfId="1" applyNumberFormat="1" applyFont="1" applyFill="1" applyBorder="1" applyAlignment="1">
      <alignment horizontal="right" vertical="top"/>
    </xf>
    <xf numFmtId="43" fontId="5" fillId="0" borderId="5" xfId="1" applyFont="1" applyFill="1" applyBorder="1" applyAlignment="1">
      <alignment horizontal="right" vertical="top"/>
    </xf>
    <xf numFmtId="43" fontId="5" fillId="0" borderId="8" xfId="1" applyNumberFormat="1" applyFont="1" applyFill="1" applyBorder="1" applyAlignment="1">
      <alignment horizontal="right" vertical="top"/>
    </xf>
    <xf numFmtId="166" fontId="5" fillId="0" borderId="8" xfId="2" applyNumberFormat="1" applyFont="1" applyFill="1" applyBorder="1" applyAlignment="1">
      <alignment horizontal="right" vertical="top"/>
    </xf>
    <xf numFmtId="165" fontId="7" fillId="3" borderId="7" xfId="1" applyNumberFormat="1" applyFont="1" applyFill="1" applyBorder="1" applyAlignment="1">
      <alignment horizontal="right" vertical="top"/>
    </xf>
    <xf numFmtId="165" fontId="7" fillId="3" borderId="21" xfId="1" applyNumberFormat="1" applyFont="1" applyFill="1" applyBorder="1" applyAlignment="1">
      <alignment horizontal="right" vertical="top"/>
    </xf>
    <xf numFmtId="165" fontId="5" fillId="0" borderId="20" xfId="1" applyNumberFormat="1" applyFont="1" applyFill="1" applyBorder="1" applyAlignment="1">
      <alignment vertical="top"/>
    </xf>
    <xf numFmtId="165" fontId="4" fillId="0" borderId="16" xfId="1" applyNumberFormat="1" applyFont="1" applyFill="1" applyBorder="1" applyAlignment="1">
      <alignment vertical="top"/>
    </xf>
    <xf numFmtId="165" fontId="4" fillId="0" borderId="22" xfId="1" applyNumberFormat="1" applyFont="1" applyFill="1" applyBorder="1" applyAlignment="1">
      <alignment vertical="top"/>
    </xf>
    <xf numFmtId="165" fontId="5" fillId="0" borderId="23" xfId="1" applyNumberFormat="1" applyFont="1" applyFill="1" applyBorder="1" applyAlignment="1">
      <alignment horizontal="right" vertical="top"/>
    </xf>
    <xf numFmtId="164" fontId="4" fillId="0" borderId="23" xfId="1" applyNumberFormat="1" applyFont="1" applyFill="1" applyBorder="1" applyAlignment="1">
      <alignment horizontal="right" vertical="top"/>
    </xf>
    <xf numFmtId="166" fontId="5" fillId="0" borderId="23" xfId="2" applyNumberFormat="1" applyFont="1" applyFill="1" applyBorder="1" applyAlignment="1">
      <alignment horizontal="right" vertical="top"/>
    </xf>
  </cellXfs>
  <cellStyles count="12">
    <cellStyle name="Align_indent_1" xfId="11" xr:uid="{DF2212CF-BB92-41E7-843C-CAAFF8D59C86}"/>
    <cellStyle name="Fnt_default_11_bold" xfId="10" xr:uid="{0E315AC2-FA4A-46B0-8A7A-AEEC21B7079C}"/>
    <cellStyle name="Hyperlink 2" xfId="7" xr:uid="{00000000-0005-0000-0000-000001000000}"/>
    <cellStyle name="Komma" xfId="1" builtinId="3"/>
    <cellStyle name="Komma 11" xfId="8" xr:uid="{00000000-0005-0000-0000-000003000000}"/>
    <cellStyle name="Normal" xfId="9" xr:uid="{00000000-0005-0000-0000-000004000000}"/>
    <cellStyle name="Procent" xfId="2" builtinId="5"/>
    <cellStyle name="Standaard" xfId="0" builtinId="0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7\Reporting\A07%20MIC\Standaard%20template\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RC\MRC\2014\Reporting\2014%2006\21.%20Standard%20&amp;%20Poor\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  <sheetName val="4EKW97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/>
      <sheetData sheetId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>
        <row r="1">
          <cell r="E1" t="str">
            <v>2011Q3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 refreshError="1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/>
      <sheetData sheetId="1"/>
      <sheetData sheetId="2" refreshError="1">
        <row r="142">
          <cell r="B142"/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42"/>
  <sheetViews>
    <sheetView showGridLines="0" tabSelected="1" topLeftCell="D18" zoomScale="238" zoomScaleNormal="238" workbookViewId="0">
      <selection activeCell="G25" sqref="G25"/>
    </sheetView>
  </sheetViews>
  <sheetFormatPr defaultColWidth="9.140625" defaultRowHeight="12.75" x14ac:dyDescent="0.25"/>
  <cols>
    <col min="1" max="1" width="17.5703125" style="9" customWidth="1"/>
    <col min="2" max="2" width="3.140625" style="2" bestFit="1" customWidth="1"/>
    <col min="3" max="3" width="72.85546875" style="1" bestFit="1" customWidth="1"/>
    <col min="4" max="4" width="12.28515625" style="1" customWidth="1"/>
    <col min="5" max="5" width="12.28515625" style="15" customWidth="1"/>
    <col min="6" max="6" width="14" style="15" bestFit="1" customWidth="1"/>
    <col min="7" max="7" width="14" style="61" bestFit="1" customWidth="1"/>
    <col min="8" max="16384" width="9.140625" style="1"/>
  </cols>
  <sheetData>
    <row r="1" spans="1:9" x14ac:dyDescent="0.25">
      <c r="A1" s="87" t="s">
        <v>50</v>
      </c>
      <c r="B1" s="87"/>
      <c r="C1" s="87" t="s">
        <v>116</v>
      </c>
      <c r="D1" s="87"/>
      <c r="E1" s="87"/>
      <c r="F1" s="87"/>
      <c r="G1" s="87"/>
    </row>
    <row r="3" spans="1:9" x14ac:dyDescent="0.25">
      <c r="A3" s="1"/>
      <c r="C3" s="87" t="s">
        <v>25</v>
      </c>
      <c r="D3" s="88"/>
      <c r="E3" s="90" t="s">
        <v>117</v>
      </c>
      <c r="F3" s="4"/>
      <c r="G3" s="49" t="s">
        <v>115</v>
      </c>
    </row>
    <row r="4" spans="1:9" x14ac:dyDescent="0.25">
      <c r="B4" s="2" t="s">
        <v>0</v>
      </c>
      <c r="C4" s="5" t="s">
        <v>120</v>
      </c>
      <c r="D4" s="6"/>
      <c r="E4" s="36">
        <v>465.7202082</v>
      </c>
      <c r="F4" s="93"/>
      <c r="G4" s="50">
        <v>908.4558581</v>
      </c>
    </row>
    <row r="5" spans="1:9" x14ac:dyDescent="0.25">
      <c r="B5" s="2" t="s">
        <v>1</v>
      </c>
      <c r="C5" s="5" t="s">
        <v>121</v>
      </c>
      <c r="D5" s="89"/>
      <c r="E5" s="8">
        <v>-48.125</v>
      </c>
      <c r="F5" s="93"/>
      <c r="G5" s="51">
        <v>-48.125</v>
      </c>
    </row>
    <row r="6" spans="1:9" x14ac:dyDescent="0.25">
      <c r="A6" s="9" t="s">
        <v>2</v>
      </c>
      <c r="B6" s="2" t="s">
        <v>3</v>
      </c>
      <c r="C6" s="10" t="s">
        <v>114</v>
      </c>
      <c r="D6" s="11"/>
      <c r="E6" s="12">
        <f>E4+E5</f>
        <v>417.5952082</v>
      </c>
      <c r="F6" s="93"/>
      <c r="G6" s="52">
        <f>G4+G5</f>
        <v>860.3308581</v>
      </c>
      <c r="I6" s="91"/>
    </row>
    <row r="7" spans="1:9" x14ac:dyDescent="0.25">
      <c r="D7" s="11"/>
      <c r="E7" s="12"/>
      <c r="F7" s="94"/>
      <c r="G7" s="52"/>
      <c r="I7" s="91"/>
    </row>
    <row r="8" spans="1:9" x14ac:dyDescent="0.25">
      <c r="D8" s="28" t="s">
        <v>109</v>
      </c>
      <c r="E8" s="90" t="str">
        <f>E3</f>
        <v>HY 2020</v>
      </c>
      <c r="F8" s="99" t="s">
        <v>111</v>
      </c>
      <c r="G8" s="53" t="str">
        <f>G3</f>
        <v>HY 2021</v>
      </c>
    </row>
    <row r="9" spans="1:9" x14ac:dyDescent="0.25">
      <c r="B9" s="2" t="s">
        <v>4</v>
      </c>
      <c r="C9" s="5" t="s">
        <v>26</v>
      </c>
      <c r="D9" s="13">
        <v>5088.8546474500008</v>
      </c>
      <c r="E9" s="14">
        <v>5303.4881932899998</v>
      </c>
      <c r="F9" s="92">
        <v>5309.1216707699996</v>
      </c>
      <c r="G9" s="54">
        <v>5897.3996746400007</v>
      </c>
    </row>
    <row r="10" spans="1:9" x14ac:dyDescent="0.25">
      <c r="A10" s="9" t="s">
        <v>5</v>
      </c>
      <c r="B10" s="2" t="s">
        <v>6</v>
      </c>
      <c r="C10" s="10" t="s">
        <v>27</v>
      </c>
      <c r="D10" s="12"/>
      <c r="E10" s="12">
        <f>AVERAGE(D9,E9)</f>
        <v>5196.1714203700003</v>
      </c>
      <c r="F10" s="94"/>
      <c r="G10" s="52">
        <f>AVERAGE(F9,G9)</f>
        <v>5603.2606727050006</v>
      </c>
    </row>
    <row r="11" spans="1:9" x14ac:dyDescent="0.25">
      <c r="C11" s="5"/>
      <c r="D11" s="15"/>
      <c r="F11" s="96"/>
      <c r="G11" s="55"/>
    </row>
    <row r="12" spans="1:9" x14ac:dyDescent="0.25">
      <c r="A12" s="9" t="s">
        <v>7</v>
      </c>
      <c r="B12" s="2" t="s">
        <v>8</v>
      </c>
      <c r="C12" s="10" t="s">
        <v>28</v>
      </c>
      <c r="D12" s="16"/>
      <c r="E12" s="16">
        <f>+E6/E10</f>
        <v>8.0365941462775023E-2</v>
      </c>
      <c r="F12" s="95"/>
      <c r="G12" s="56">
        <f>+G6/G10</f>
        <v>0.15354110907081381</v>
      </c>
    </row>
    <row r="13" spans="1:9" x14ac:dyDescent="0.25">
      <c r="E13" s="16"/>
      <c r="F13" s="16"/>
      <c r="G13" s="57"/>
    </row>
    <row r="14" spans="1:9" x14ac:dyDescent="0.25">
      <c r="C14" s="80"/>
      <c r="E14" s="16"/>
      <c r="F14" s="16"/>
      <c r="G14" s="57"/>
    </row>
    <row r="15" spans="1:9" x14ac:dyDescent="0.25">
      <c r="C15" s="87" t="s">
        <v>30</v>
      </c>
      <c r="D15" s="3"/>
      <c r="E15" s="79" t="s">
        <v>131</v>
      </c>
      <c r="G15" s="49" t="str">
        <f>+G3</f>
        <v>HY 2021</v>
      </c>
    </row>
    <row r="16" spans="1:9" x14ac:dyDescent="0.25">
      <c r="B16" s="2" t="s">
        <v>0</v>
      </c>
      <c r="C16" s="5" t="s">
        <v>122</v>
      </c>
      <c r="D16" s="6"/>
      <c r="E16" s="7">
        <v>668.57527500000015</v>
      </c>
      <c r="F16" s="96"/>
      <c r="G16" s="50">
        <v>803.80384649999985</v>
      </c>
    </row>
    <row r="17" spans="1:9" x14ac:dyDescent="0.25">
      <c r="B17" s="2" t="s">
        <v>1</v>
      </c>
      <c r="C17" s="5" t="s">
        <v>129</v>
      </c>
      <c r="D17" s="6"/>
      <c r="E17" s="8">
        <v>-36.09375</v>
      </c>
      <c r="F17" s="96"/>
      <c r="G17" s="51">
        <v>-36.09375</v>
      </c>
    </row>
    <row r="18" spans="1:9" x14ac:dyDescent="0.25">
      <c r="A18" s="9" t="s">
        <v>2</v>
      </c>
      <c r="B18" s="2" t="s">
        <v>3</v>
      </c>
      <c r="C18" s="10" t="s">
        <v>106</v>
      </c>
      <c r="D18" s="11"/>
      <c r="E18" s="12">
        <f>E16+E17</f>
        <v>632.48152500000015</v>
      </c>
      <c r="F18" s="96"/>
      <c r="G18" s="52">
        <f>G16+G17</f>
        <v>767.71009649999985</v>
      </c>
    </row>
    <row r="19" spans="1:9" x14ac:dyDescent="0.25">
      <c r="C19" s="5"/>
      <c r="D19" s="6"/>
      <c r="E19" s="12"/>
      <c r="F19" s="94"/>
      <c r="G19" s="52"/>
    </row>
    <row r="20" spans="1:9" x14ac:dyDescent="0.25">
      <c r="C20" s="5"/>
      <c r="D20" s="28" t="str">
        <f>D8</f>
        <v>FY 2019</v>
      </c>
      <c r="E20" s="111" t="str">
        <f>+E15</f>
        <v>HY 2020*</v>
      </c>
      <c r="F20" s="113" t="str">
        <f>F8</f>
        <v>FY 2020</v>
      </c>
      <c r="G20" s="53" t="str">
        <f>+G15</f>
        <v>HY 2021</v>
      </c>
    </row>
    <row r="21" spans="1:9" x14ac:dyDescent="0.25">
      <c r="B21" s="2" t="s">
        <v>4</v>
      </c>
      <c r="C21" s="5" t="s">
        <v>26</v>
      </c>
      <c r="D21" s="13">
        <f>D9</f>
        <v>5088.8546474500008</v>
      </c>
      <c r="E21" s="127">
        <f>E9</f>
        <v>5303.4881932899998</v>
      </c>
      <c r="F21" s="128">
        <f>F9</f>
        <v>5309.1216707699996</v>
      </c>
      <c r="G21" s="50">
        <f>G9</f>
        <v>5897.3996746400007</v>
      </c>
    </row>
    <row r="22" spans="1:9" x14ac:dyDescent="0.25">
      <c r="B22" s="2" t="s">
        <v>6</v>
      </c>
      <c r="C22" s="5" t="s">
        <v>107</v>
      </c>
      <c r="D22" s="13">
        <v>-936.75208120999991</v>
      </c>
      <c r="E22" s="7">
        <v>-893.59089955999991</v>
      </c>
      <c r="F22" s="98">
        <v>-1136.7960003100002</v>
      </c>
      <c r="G22" s="50">
        <v>-1354.9899756100001</v>
      </c>
    </row>
    <row r="23" spans="1:9" ht="13.5" thickBot="1" x14ac:dyDescent="0.3">
      <c r="B23" s="2" t="s">
        <v>8</v>
      </c>
      <c r="C23" s="5" t="s">
        <v>75</v>
      </c>
      <c r="D23" s="108">
        <v>-54.218085479999999</v>
      </c>
      <c r="E23" s="109">
        <v>-50.907864199999999</v>
      </c>
      <c r="F23" s="109">
        <v>-56.248870859999997</v>
      </c>
      <c r="G23" s="76">
        <v>-35.168935509999997</v>
      </c>
    </row>
    <row r="24" spans="1:9" s="22" customFormat="1" ht="30.75" customHeight="1" x14ac:dyDescent="0.25">
      <c r="A24" s="9" t="s">
        <v>45</v>
      </c>
      <c r="B24" s="2" t="s">
        <v>10</v>
      </c>
      <c r="C24" s="77" t="s">
        <v>108</v>
      </c>
      <c r="D24" s="78">
        <f>D21+D22+D23</f>
        <v>4097.8844807600008</v>
      </c>
      <c r="E24" s="110">
        <f>E21+E22+E23</f>
        <v>4358.9894295299991</v>
      </c>
      <c r="F24" s="126">
        <f>F21+F22+F23</f>
        <v>4116.0767995999986</v>
      </c>
      <c r="G24" s="125">
        <f>G21+G22+G23</f>
        <v>4507.2407635200007</v>
      </c>
      <c r="I24" s="112"/>
    </row>
    <row r="25" spans="1:9" x14ac:dyDescent="0.25">
      <c r="A25" s="9" t="s">
        <v>46</v>
      </c>
      <c r="B25" s="2" t="s">
        <v>11</v>
      </c>
      <c r="C25" s="10" t="s">
        <v>29</v>
      </c>
      <c r="D25" s="12"/>
      <c r="E25" s="12">
        <f>(D24+E24)/2</f>
        <v>4228.436955145</v>
      </c>
      <c r="F25" s="129"/>
      <c r="G25" s="52">
        <f>(F24+G24)/2</f>
        <v>4311.6587815599996</v>
      </c>
    </row>
    <row r="26" spans="1:9" x14ac:dyDescent="0.25">
      <c r="F26" s="130"/>
      <c r="G26" s="55"/>
    </row>
    <row r="27" spans="1:9" x14ac:dyDescent="0.25">
      <c r="A27" s="9" t="s">
        <v>47</v>
      </c>
      <c r="B27" s="2" t="s">
        <v>12</v>
      </c>
      <c r="C27" s="10" t="s">
        <v>30</v>
      </c>
      <c r="D27" s="10"/>
      <c r="E27" s="16">
        <f>+E18/E25</f>
        <v>0.14957809036987554</v>
      </c>
      <c r="F27" s="131"/>
      <c r="G27" s="56">
        <f>+G18/G25</f>
        <v>0.17805446474181219</v>
      </c>
    </row>
    <row r="28" spans="1:9" x14ac:dyDescent="0.25">
      <c r="C28" s="82" t="s">
        <v>130</v>
      </c>
      <c r="E28" s="16"/>
      <c r="F28" s="16"/>
      <c r="G28" s="57"/>
    </row>
    <row r="29" spans="1:9" x14ac:dyDescent="0.25">
      <c r="E29" s="16"/>
      <c r="F29" s="16"/>
      <c r="G29" s="57"/>
    </row>
    <row r="30" spans="1:9" x14ac:dyDescent="0.25">
      <c r="E30" s="17"/>
      <c r="F30" s="17"/>
      <c r="G30" s="58"/>
    </row>
    <row r="31" spans="1:9" x14ac:dyDescent="0.25">
      <c r="C31" s="87" t="s">
        <v>31</v>
      </c>
      <c r="F31" s="79" t="str">
        <f>$F$8</f>
        <v>FY 2020</v>
      </c>
      <c r="G31" s="49" t="str">
        <f>+$G$3</f>
        <v>HY 2021</v>
      </c>
    </row>
    <row r="32" spans="1:9" x14ac:dyDescent="0.25">
      <c r="B32" s="2" t="s">
        <v>0</v>
      </c>
      <c r="C32" s="33" t="s">
        <v>32</v>
      </c>
      <c r="D32" s="37"/>
      <c r="E32" s="38"/>
      <c r="F32" s="97">
        <v>497</v>
      </c>
      <c r="G32" s="54">
        <v>497</v>
      </c>
    </row>
    <row r="33" spans="1:8" x14ac:dyDescent="0.25">
      <c r="B33" s="2" t="s">
        <v>1</v>
      </c>
      <c r="C33" s="33" t="s">
        <v>134</v>
      </c>
      <c r="D33" s="37"/>
      <c r="E33" s="38"/>
      <c r="F33" s="100">
        <v>507</v>
      </c>
      <c r="G33" s="51">
        <v>507</v>
      </c>
    </row>
    <row r="34" spans="1:8" x14ac:dyDescent="0.25">
      <c r="A34" s="9" t="s">
        <v>2</v>
      </c>
      <c r="B34" s="2" t="s">
        <v>3</v>
      </c>
      <c r="C34" s="33" t="s">
        <v>44</v>
      </c>
      <c r="D34" s="37"/>
      <c r="E34" s="38"/>
      <c r="F34" s="97">
        <f>+F32+F33</f>
        <v>1004</v>
      </c>
      <c r="G34" s="59">
        <f>+G32+G33</f>
        <v>1004</v>
      </c>
    </row>
    <row r="35" spans="1:8" x14ac:dyDescent="0.25">
      <c r="B35" s="2" t="s">
        <v>4</v>
      </c>
      <c r="C35" s="5" t="s">
        <v>43</v>
      </c>
      <c r="F35" s="98">
        <v>497.62608699999998</v>
      </c>
      <c r="G35" s="54">
        <v>497.73255</v>
      </c>
    </row>
    <row r="36" spans="1:8" x14ac:dyDescent="0.25">
      <c r="B36" s="2" t="s">
        <v>6</v>
      </c>
      <c r="C36" s="5" t="s">
        <v>76</v>
      </c>
      <c r="F36" s="98">
        <v>493.23897899999997</v>
      </c>
      <c r="G36" s="54">
        <v>493.43254999999999</v>
      </c>
    </row>
    <row r="37" spans="1:8" x14ac:dyDescent="0.25">
      <c r="B37" s="2" t="s">
        <v>8</v>
      </c>
      <c r="C37" s="5" t="s">
        <v>33</v>
      </c>
      <c r="F37" s="100">
        <v>105</v>
      </c>
      <c r="G37" s="51">
        <v>105</v>
      </c>
    </row>
    <row r="38" spans="1:8" x14ac:dyDescent="0.25">
      <c r="A38" s="9" t="s">
        <v>132</v>
      </c>
      <c r="B38" s="2" t="s">
        <v>10</v>
      </c>
      <c r="C38" s="10" t="s">
        <v>34</v>
      </c>
      <c r="F38" s="101">
        <f>F34+F35+F36+F37</f>
        <v>2099.8650660000003</v>
      </c>
      <c r="G38" s="60">
        <f>G34+G35+G36+G37</f>
        <v>2100.1651000000002</v>
      </c>
    </row>
    <row r="39" spans="1:8" x14ac:dyDescent="0.25">
      <c r="C39" s="5"/>
      <c r="F39" s="98"/>
      <c r="G39" s="54"/>
    </row>
    <row r="40" spans="1:8" x14ac:dyDescent="0.25">
      <c r="B40" s="2" t="s">
        <v>11</v>
      </c>
      <c r="C40" s="10" t="s">
        <v>26</v>
      </c>
      <c r="F40" s="94">
        <v>5309.1216707699996</v>
      </c>
      <c r="G40" s="60">
        <v>5897.3996746400007</v>
      </c>
    </row>
    <row r="41" spans="1:8" x14ac:dyDescent="0.25">
      <c r="C41" s="5"/>
      <c r="F41" s="98"/>
      <c r="G41" s="54"/>
    </row>
    <row r="42" spans="1:8" ht="13.5" thickBot="1" x14ac:dyDescent="0.3">
      <c r="A42" s="9" t="s">
        <v>133</v>
      </c>
      <c r="B42" s="2" t="s">
        <v>12</v>
      </c>
      <c r="C42" s="10" t="s">
        <v>35</v>
      </c>
      <c r="F42" s="103">
        <f>F38/(F40+F38)</f>
        <v>0.2834213557946591</v>
      </c>
      <c r="G42" s="102">
        <f>G38/(G40+G38)</f>
        <v>0.2626005739471533</v>
      </c>
      <c r="H42" s="84"/>
    </row>
    <row r="43" spans="1:8" x14ac:dyDescent="0.25">
      <c r="D43" s="19"/>
      <c r="E43" s="16"/>
      <c r="F43" s="27"/>
    </row>
    <row r="44" spans="1:8" x14ac:dyDescent="0.25">
      <c r="D44" s="19"/>
      <c r="E44" s="16"/>
      <c r="F44" s="16"/>
    </row>
    <row r="45" spans="1:8" x14ac:dyDescent="0.25">
      <c r="C45" s="87" t="s">
        <v>13</v>
      </c>
      <c r="D45" s="19"/>
      <c r="E45" s="19"/>
      <c r="F45" s="79" t="str">
        <f>$F$8</f>
        <v>FY 2020</v>
      </c>
      <c r="G45" s="49" t="str">
        <f>+$G$3</f>
        <v>HY 2021</v>
      </c>
    </row>
    <row r="46" spans="1:8" x14ac:dyDescent="0.25">
      <c r="B46" s="2" t="s">
        <v>0</v>
      </c>
      <c r="C46" s="5" t="s">
        <v>36</v>
      </c>
      <c r="D46" s="19"/>
      <c r="E46" s="19"/>
      <c r="F46" s="97">
        <v>48</v>
      </c>
      <c r="G46" s="104">
        <v>23.9</v>
      </c>
    </row>
    <row r="47" spans="1:8" x14ac:dyDescent="0.25">
      <c r="B47" s="2" t="s">
        <v>1</v>
      </c>
      <c r="C47" s="5" t="s">
        <v>42</v>
      </c>
      <c r="D47" s="19"/>
      <c r="E47" s="19"/>
      <c r="F47" s="98">
        <v>43</v>
      </c>
      <c r="G47" s="50">
        <v>21.1</v>
      </c>
    </row>
    <row r="48" spans="1:8" x14ac:dyDescent="0.25">
      <c r="B48" s="2" t="s">
        <v>3</v>
      </c>
      <c r="C48" s="5" t="s">
        <v>33</v>
      </c>
      <c r="D48" s="19"/>
      <c r="E48" s="19"/>
      <c r="F48" s="100">
        <v>0.36015900000000001</v>
      </c>
      <c r="G48" s="51">
        <v>0.16500000000000001</v>
      </c>
    </row>
    <row r="49" spans="1:8" x14ac:dyDescent="0.25">
      <c r="A49" s="9" t="s">
        <v>9</v>
      </c>
      <c r="B49" s="2" t="s">
        <v>4</v>
      </c>
      <c r="C49" s="10" t="s">
        <v>37</v>
      </c>
      <c r="D49" s="19"/>
      <c r="E49" s="19"/>
      <c r="F49" s="101">
        <f>F46+F47+F48</f>
        <v>91.360158999999996</v>
      </c>
      <c r="G49" s="52">
        <f>G46+G47+G48</f>
        <v>45.164999999999999</v>
      </c>
    </row>
    <row r="50" spans="1:8" x14ac:dyDescent="0.25">
      <c r="C50" s="10"/>
      <c r="D50" s="19"/>
      <c r="E50" s="19"/>
      <c r="F50" s="98"/>
      <c r="G50" s="62"/>
    </row>
    <row r="51" spans="1:8" x14ac:dyDescent="0.25">
      <c r="B51" s="2" t="s">
        <v>6</v>
      </c>
      <c r="C51" s="20" t="s">
        <v>73</v>
      </c>
      <c r="D51" s="35"/>
      <c r="E51" s="19"/>
      <c r="F51" s="98">
        <v>829.12138899000001</v>
      </c>
      <c r="G51" s="63">
        <v>573.86054037999997</v>
      </c>
    </row>
    <row r="52" spans="1:8" x14ac:dyDescent="0.25">
      <c r="B52" s="2" t="s">
        <v>8</v>
      </c>
      <c r="C52" s="5" t="s">
        <v>37</v>
      </c>
      <c r="D52" s="19"/>
      <c r="E52" s="19"/>
      <c r="F52" s="100">
        <v>43.360159000000003</v>
      </c>
      <c r="G52" s="64">
        <v>21.265000000000001</v>
      </c>
    </row>
    <row r="53" spans="1:8" x14ac:dyDescent="0.25">
      <c r="A53" s="9" t="s">
        <v>48</v>
      </c>
      <c r="B53" s="2" t="s">
        <v>10</v>
      </c>
      <c r="C53" s="10" t="s">
        <v>41</v>
      </c>
      <c r="D53" s="19"/>
      <c r="E53" s="19"/>
      <c r="F53" s="101">
        <f>F51+F52</f>
        <v>872.48154798999997</v>
      </c>
      <c r="G53" s="65">
        <f>G51+G52</f>
        <v>595.12554037999996</v>
      </c>
    </row>
    <row r="54" spans="1:8" x14ac:dyDescent="0.25">
      <c r="C54" s="5"/>
      <c r="D54" s="19"/>
      <c r="E54" s="19"/>
      <c r="F54" s="96"/>
      <c r="G54" s="62"/>
    </row>
    <row r="55" spans="1:8" x14ac:dyDescent="0.25">
      <c r="A55" s="9" t="s">
        <v>49</v>
      </c>
      <c r="B55" s="2" t="s">
        <v>11</v>
      </c>
      <c r="C55" s="10" t="s">
        <v>13</v>
      </c>
      <c r="D55" s="19"/>
      <c r="E55" s="19"/>
      <c r="F55" s="105">
        <f>F53/F49</f>
        <v>9.5499127578138303</v>
      </c>
      <c r="G55" s="66">
        <f>G53/G49</f>
        <v>13.176697451123657</v>
      </c>
    </row>
    <row r="56" spans="1:8" x14ac:dyDescent="0.25">
      <c r="D56" s="22"/>
      <c r="E56" s="21"/>
      <c r="F56" s="21"/>
      <c r="G56" s="67"/>
    </row>
    <row r="57" spans="1:8" x14ac:dyDescent="0.25">
      <c r="D57" s="22"/>
      <c r="E57" s="21"/>
      <c r="F57" s="21"/>
    </row>
    <row r="58" spans="1:8" x14ac:dyDescent="0.25">
      <c r="C58" s="87" t="s">
        <v>14</v>
      </c>
      <c r="D58" s="23"/>
      <c r="E58" s="22"/>
      <c r="F58" s="28" t="str">
        <f>$F$8</f>
        <v>FY 2020</v>
      </c>
      <c r="G58" s="49" t="str">
        <f>+$G$3</f>
        <v>HY 2021</v>
      </c>
    </row>
    <row r="59" spans="1:8" x14ac:dyDescent="0.25">
      <c r="B59" s="2" t="s">
        <v>0</v>
      </c>
      <c r="C59" s="33" t="s">
        <v>26</v>
      </c>
      <c r="D59" s="5"/>
      <c r="E59" s="22"/>
      <c r="F59" s="97">
        <v>5309.1216707699996</v>
      </c>
      <c r="G59" s="54">
        <v>5897.3996746400007</v>
      </c>
    </row>
    <row r="60" spans="1:8" x14ac:dyDescent="0.25">
      <c r="B60" s="2" t="s">
        <v>1</v>
      </c>
      <c r="C60" s="33" t="s">
        <v>118</v>
      </c>
      <c r="D60" s="5"/>
      <c r="E60" s="22"/>
      <c r="F60" s="100">
        <v>1994.8650660000001</v>
      </c>
      <c r="G60" s="51">
        <v>1995.1650999999999</v>
      </c>
    </row>
    <row r="61" spans="1:8" x14ac:dyDescent="0.25">
      <c r="A61" s="9" t="s">
        <v>2</v>
      </c>
      <c r="B61" s="2" t="s">
        <v>3</v>
      </c>
      <c r="C61" s="34" t="s">
        <v>38</v>
      </c>
      <c r="D61" s="10"/>
      <c r="E61" s="22"/>
      <c r="F61" s="101">
        <f>F59+F60</f>
        <v>7303.9867367699999</v>
      </c>
      <c r="G61" s="60">
        <f>G59+G60</f>
        <v>7892.5647746400009</v>
      </c>
    </row>
    <row r="62" spans="1:8" x14ac:dyDescent="0.25">
      <c r="C62" s="33"/>
      <c r="D62" s="5"/>
      <c r="E62" s="22"/>
      <c r="F62" s="98"/>
      <c r="G62" s="54"/>
    </row>
    <row r="63" spans="1:8" x14ac:dyDescent="0.25">
      <c r="B63" s="2" t="s">
        <v>4</v>
      </c>
      <c r="C63" s="34" t="s">
        <v>39</v>
      </c>
      <c r="D63" s="10"/>
      <c r="E63" s="22"/>
      <c r="F63" s="94">
        <v>7572</v>
      </c>
      <c r="G63" s="60">
        <v>7913.7409669999997</v>
      </c>
      <c r="H63" s="39"/>
    </row>
    <row r="64" spans="1:8" x14ac:dyDescent="0.25">
      <c r="C64" s="33"/>
      <c r="D64" s="5"/>
      <c r="E64" s="22"/>
      <c r="F64" s="106"/>
      <c r="G64" s="68"/>
    </row>
    <row r="65" spans="1:7" x14ac:dyDescent="0.25">
      <c r="A65" s="9" t="s">
        <v>15</v>
      </c>
      <c r="B65" s="2" t="s">
        <v>6</v>
      </c>
      <c r="C65" s="34" t="s">
        <v>16</v>
      </c>
      <c r="D65" s="10"/>
      <c r="E65" s="22"/>
      <c r="F65" s="95">
        <f>F63/F61</f>
        <v>1.036694105957334</v>
      </c>
      <c r="G65" s="56">
        <f>G63/G61</f>
        <v>1.0026830558841964</v>
      </c>
    </row>
    <row r="66" spans="1:7" x14ac:dyDescent="0.25">
      <c r="A66" s="9" t="s">
        <v>17</v>
      </c>
      <c r="B66" s="2" t="s">
        <v>8</v>
      </c>
      <c r="C66" s="34" t="s">
        <v>74</v>
      </c>
      <c r="D66" s="10"/>
      <c r="E66" s="22"/>
      <c r="F66" s="107">
        <f>F63-F61</f>
        <v>268.01326323000012</v>
      </c>
      <c r="G66" s="69">
        <f>G63-G61</f>
        <v>21.176192359998822</v>
      </c>
    </row>
    <row r="67" spans="1:7" x14ac:dyDescent="0.25">
      <c r="D67" s="10"/>
      <c r="E67" s="25"/>
      <c r="F67" s="24"/>
      <c r="G67" s="70"/>
    </row>
    <row r="68" spans="1:7" x14ac:dyDescent="0.25">
      <c r="D68" s="10"/>
      <c r="E68" s="25"/>
      <c r="F68" s="24"/>
      <c r="G68" s="70"/>
    </row>
    <row r="69" spans="1:7" x14ac:dyDescent="0.25">
      <c r="C69" s="87" t="s">
        <v>77</v>
      </c>
      <c r="D69" s="23"/>
      <c r="E69" s="25"/>
      <c r="F69" s="28" t="str">
        <f>$F$8</f>
        <v>FY 2020</v>
      </c>
      <c r="G69" s="49" t="str">
        <f>+$G$3</f>
        <v>HY 2021</v>
      </c>
    </row>
    <row r="70" spans="1:7" x14ac:dyDescent="0.25">
      <c r="B70" s="2" t="s">
        <v>0</v>
      </c>
      <c r="C70" s="20" t="s">
        <v>40</v>
      </c>
      <c r="D70" s="5"/>
      <c r="E70" s="25"/>
      <c r="F70" s="114">
        <v>8273.1188959999999</v>
      </c>
      <c r="G70" s="54">
        <v>8157.83104</v>
      </c>
    </row>
    <row r="71" spans="1:7" x14ac:dyDescent="0.25">
      <c r="B71" s="2" t="s">
        <v>1</v>
      </c>
      <c r="C71" s="20" t="s">
        <v>18</v>
      </c>
      <c r="D71" s="5"/>
      <c r="E71" s="25"/>
      <c r="F71" s="116">
        <v>4158.7344999999996</v>
      </c>
      <c r="G71" s="54">
        <v>4130.6073649999998</v>
      </c>
    </row>
    <row r="72" spans="1:7" x14ac:dyDescent="0.25">
      <c r="A72" s="9" t="s">
        <v>24</v>
      </c>
      <c r="B72" s="2" t="s">
        <v>3</v>
      </c>
      <c r="C72" s="10" t="s">
        <v>119</v>
      </c>
      <c r="D72" s="5"/>
      <c r="E72" s="31"/>
      <c r="F72" s="115">
        <f>F70/F71</f>
        <v>1.989335673147685</v>
      </c>
      <c r="G72" s="86">
        <f>G70/G71</f>
        <v>1.974971310302692</v>
      </c>
    </row>
    <row r="73" spans="1:7" x14ac:dyDescent="0.25">
      <c r="D73" s="25"/>
      <c r="E73" s="24"/>
      <c r="F73" s="24"/>
      <c r="G73" s="67"/>
    </row>
    <row r="74" spans="1:7" x14ac:dyDescent="0.25">
      <c r="D74" s="25"/>
      <c r="E74" s="24"/>
      <c r="F74" s="24"/>
      <c r="G74" s="67"/>
    </row>
    <row r="75" spans="1:7" x14ac:dyDescent="0.25">
      <c r="C75" s="87" t="s">
        <v>78</v>
      </c>
      <c r="D75" s="25"/>
      <c r="E75" s="24"/>
      <c r="F75" s="28" t="str">
        <f>+$E$3</f>
        <v>HY 2020</v>
      </c>
      <c r="G75" s="49" t="str">
        <f>+$G$3</f>
        <v>HY 2021</v>
      </c>
    </row>
    <row r="76" spans="1:7" x14ac:dyDescent="0.25">
      <c r="B76" s="2" t="s">
        <v>0</v>
      </c>
      <c r="C76" s="10" t="s">
        <v>79</v>
      </c>
      <c r="D76" s="25"/>
      <c r="E76" s="24"/>
      <c r="F76" s="117">
        <v>1328.0002990099999</v>
      </c>
      <c r="G76" s="69">
        <v>1389.1778917300001</v>
      </c>
    </row>
    <row r="77" spans="1:7" x14ac:dyDescent="0.25">
      <c r="C77" s="5"/>
      <c r="D77" s="29"/>
      <c r="E77" s="26"/>
      <c r="F77" s="116"/>
      <c r="G77" s="71"/>
    </row>
    <row r="78" spans="1:7" x14ac:dyDescent="0.25">
      <c r="B78" s="2" t="s">
        <v>1</v>
      </c>
      <c r="C78" s="20" t="s">
        <v>51</v>
      </c>
      <c r="D78" s="29"/>
      <c r="E78" s="26"/>
      <c r="F78" s="116">
        <v>-920.33089848000009</v>
      </c>
      <c r="G78" s="71">
        <v>-911.28766675999998</v>
      </c>
    </row>
    <row r="79" spans="1:7" x14ac:dyDescent="0.25">
      <c r="C79" s="20"/>
      <c r="D79" s="29"/>
      <c r="E79" s="26"/>
      <c r="F79" s="116"/>
      <c r="G79" s="71"/>
    </row>
    <row r="80" spans="1:7" x14ac:dyDescent="0.25">
      <c r="B80" s="2" t="s">
        <v>3</v>
      </c>
      <c r="C80" s="20" t="s">
        <v>52</v>
      </c>
      <c r="F80" s="116">
        <v>1.6069659899999995</v>
      </c>
      <c r="G80" s="71">
        <v>-4.6950786999999998</v>
      </c>
    </row>
    <row r="81" spans="1:7" x14ac:dyDescent="0.25">
      <c r="B81" s="2" t="s">
        <v>4</v>
      </c>
      <c r="C81" s="20" t="s">
        <v>53</v>
      </c>
      <c r="F81" s="116">
        <v>42.645234459999998</v>
      </c>
      <c r="G81" s="71">
        <v>34.180688570000001</v>
      </c>
    </row>
    <row r="82" spans="1:7" x14ac:dyDescent="0.25">
      <c r="C82" s="20"/>
      <c r="F82" s="118"/>
      <c r="G82" s="72"/>
    </row>
    <row r="83" spans="1:7" x14ac:dyDescent="0.25">
      <c r="A83" s="9" t="s">
        <v>80</v>
      </c>
      <c r="B83" s="2" t="s">
        <v>6</v>
      </c>
      <c r="C83" s="20" t="s">
        <v>54</v>
      </c>
      <c r="F83" s="114">
        <f>F80+F81+F82</f>
        <v>44.252200449999997</v>
      </c>
      <c r="G83" s="71">
        <f>G80+G81+G82</f>
        <v>29.485609870000001</v>
      </c>
    </row>
    <row r="84" spans="1:7" x14ac:dyDescent="0.25">
      <c r="C84" s="5"/>
      <c r="F84" s="116"/>
      <c r="G84" s="71"/>
    </row>
    <row r="85" spans="1:7" x14ac:dyDescent="0.25">
      <c r="A85" s="9" t="s">
        <v>81</v>
      </c>
      <c r="B85" s="2" t="s">
        <v>8</v>
      </c>
      <c r="C85" s="10" t="s">
        <v>55</v>
      </c>
      <c r="D85" s="22"/>
      <c r="E85" s="21"/>
      <c r="F85" s="107">
        <f>F78+F83</f>
        <v>-876.07869803000006</v>
      </c>
      <c r="G85" s="69">
        <f>G78+G83</f>
        <v>-881.80205689000002</v>
      </c>
    </row>
    <row r="86" spans="1:7" x14ac:dyDescent="0.25">
      <c r="E86" s="1"/>
      <c r="F86" s="116"/>
      <c r="G86" s="71"/>
    </row>
    <row r="87" spans="1:7" x14ac:dyDescent="0.25">
      <c r="B87" s="2" t="s">
        <v>10</v>
      </c>
      <c r="C87" s="20" t="s">
        <v>56</v>
      </c>
      <c r="E87" s="1"/>
      <c r="F87" s="116">
        <v>12.307581089999957</v>
      </c>
      <c r="G87" s="71">
        <v>11.206040530000001</v>
      </c>
    </row>
    <row r="88" spans="1:7" x14ac:dyDescent="0.25">
      <c r="B88" s="2" t="s">
        <v>11</v>
      </c>
      <c r="C88" s="20" t="s">
        <v>57</v>
      </c>
      <c r="F88" s="118">
        <v>-265.14423181999996</v>
      </c>
      <c r="G88" s="72">
        <v>-272.44112272999996</v>
      </c>
    </row>
    <row r="89" spans="1:7" x14ac:dyDescent="0.25">
      <c r="A89" s="9" t="s">
        <v>82</v>
      </c>
      <c r="B89" s="2" t="s">
        <v>12</v>
      </c>
      <c r="C89" s="10" t="s">
        <v>58</v>
      </c>
      <c r="D89" s="22"/>
      <c r="E89" s="21"/>
      <c r="F89" s="117">
        <f>F87+F88</f>
        <v>-252.83665073</v>
      </c>
      <c r="G89" s="69">
        <f>G87+G88</f>
        <v>-261.23508219999997</v>
      </c>
    </row>
    <row r="90" spans="1:7" x14ac:dyDescent="0.25">
      <c r="F90" s="116"/>
      <c r="G90" s="71"/>
    </row>
    <row r="91" spans="1:7" x14ac:dyDescent="0.25">
      <c r="B91" s="2" t="s">
        <v>19</v>
      </c>
      <c r="C91" s="20" t="s">
        <v>59</v>
      </c>
      <c r="F91" s="116">
        <v>-107.99114691</v>
      </c>
      <c r="G91" s="71">
        <v>-113.39374716</v>
      </c>
    </row>
    <row r="92" spans="1:7" x14ac:dyDescent="0.25">
      <c r="B92" s="2" t="s">
        <v>20</v>
      </c>
      <c r="C92" s="20" t="s">
        <v>60</v>
      </c>
      <c r="F92" s="118">
        <v>3.5271019400000001</v>
      </c>
      <c r="G92" s="72">
        <v>2.9101591399999998</v>
      </c>
    </row>
    <row r="93" spans="1:7" x14ac:dyDescent="0.25">
      <c r="A93" s="9" t="s">
        <v>83</v>
      </c>
      <c r="B93" s="2" t="s">
        <v>21</v>
      </c>
      <c r="C93" s="30" t="s">
        <v>61</v>
      </c>
      <c r="D93" s="22"/>
      <c r="E93" s="21"/>
      <c r="F93" s="117">
        <f>F91+F92</f>
        <v>-104.46404497</v>
      </c>
      <c r="G93" s="69">
        <f>G91+G92</f>
        <v>-110.48358802</v>
      </c>
    </row>
    <row r="94" spans="1:7" x14ac:dyDescent="0.25">
      <c r="C94" s="20"/>
      <c r="F94" s="116"/>
      <c r="G94" s="71"/>
    </row>
    <row r="95" spans="1:7" x14ac:dyDescent="0.25">
      <c r="A95" s="9" t="s">
        <v>84</v>
      </c>
      <c r="B95" s="2" t="s">
        <v>22</v>
      </c>
      <c r="C95" s="20" t="s">
        <v>62</v>
      </c>
      <c r="F95" s="119">
        <f>-F85/F76</f>
        <v>0.65969766624533199</v>
      </c>
      <c r="G95" s="73">
        <f>-G85/G76</f>
        <v>0.63476539767837492</v>
      </c>
    </row>
    <row r="96" spans="1:7" x14ac:dyDescent="0.25">
      <c r="A96" s="9" t="s">
        <v>85</v>
      </c>
      <c r="B96" s="2" t="s">
        <v>23</v>
      </c>
      <c r="C96" s="20" t="s">
        <v>64</v>
      </c>
      <c r="F96" s="119">
        <f>-F89/F76</f>
        <v>0.19038900135676559</v>
      </c>
      <c r="G96" s="73">
        <f>-G89/G76</f>
        <v>0.18805012932841397</v>
      </c>
    </row>
    <row r="97" spans="1:8" x14ac:dyDescent="0.25">
      <c r="A97" s="9" t="s">
        <v>86</v>
      </c>
      <c r="B97" s="2" t="s">
        <v>65</v>
      </c>
      <c r="C97" s="20" t="s">
        <v>63</v>
      </c>
      <c r="F97" s="119">
        <f>-F93/F76</f>
        <v>7.8662666753822302E-2</v>
      </c>
      <c r="G97" s="73">
        <f>-G93/G76</f>
        <v>7.9531634269251333E-2</v>
      </c>
    </row>
    <row r="98" spans="1:8" x14ac:dyDescent="0.25">
      <c r="A98" s="9" t="s">
        <v>87</v>
      </c>
      <c r="B98" s="2" t="s">
        <v>66</v>
      </c>
      <c r="C98" s="30" t="s">
        <v>78</v>
      </c>
      <c r="D98" s="22"/>
      <c r="E98" s="21"/>
      <c r="F98" s="95">
        <f>F95+F96+F97</f>
        <v>0.92874933435591989</v>
      </c>
      <c r="G98" s="56">
        <f>G95+G96+G97</f>
        <v>0.90234716127604031</v>
      </c>
      <c r="H98" s="81"/>
    </row>
    <row r="99" spans="1:8" x14ac:dyDescent="0.25">
      <c r="F99" s="17"/>
      <c r="G99" s="58"/>
    </row>
    <row r="101" spans="1:8" x14ac:dyDescent="0.25">
      <c r="C101" s="87" t="s">
        <v>67</v>
      </c>
      <c r="F101" s="120" t="str">
        <f>+$E$3</f>
        <v>HY 2020</v>
      </c>
      <c r="G101" s="49" t="str">
        <f>+$G$3</f>
        <v>HY 2021</v>
      </c>
    </row>
    <row r="102" spans="1:8" x14ac:dyDescent="0.25">
      <c r="B102" s="2" t="s">
        <v>0</v>
      </c>
      <c r="C102" s="5" t="s">
        <v>113</v>
      </c>
      <c r="F102" s="97">
        <v>334.28763750000007</v>
      </c>
      <c r="G102" s="71">
        <v>401.90192324999992</v>
      </c>
    </row>
    <row r="103" spans="1:8" x14ac:dyDescent="0.25">
      <c r="B103" s="2" t="s">
        <v>1</v>
      </c>
      <c r="C103" s="5" t="s">
        <v>123</v>
      </c>
      <c r="F103" s="100">
        <v>-20.9375</v>
      </c>
      <c r="G103" s="72">
        <v>-18.046875</v>
      </c>
    </row>
    <row r="104" spans="1:8" x14ac:dyDescent="0.25">
      <c r="A104" s="32" t="s">
        <v>95</v>
      </c>
      <c r="B104" s="1" t="s">
        <v>3</v>
      </c>
      <c r="C104" s="10" t="s">
        <v>106</v>
      </c>
      <c r="F104" s="101">
        <f>SUM(F102:F103)</f>
        <v>313.35013750000007</v>
      </c>
      <c r="G104" s="69">
        <f>SUM(G102:G103)</f>
        <v>383.85504824999992</v>
      </c>
    </row>
    <row r="105" spans="1:8" x14ac:dyDescent="0.25">
      <c r="A105" s="2"/>
      <c r="B105" s="1"/>
      <c r="C105" s="10"/>
      <c r="F105" s="96"/>
      <c r="G105" s="71"/>
    </row>
    <row r="106" spans="1:8" x14ac:dyDescent="0.25">
      <c r="B106" s="1" t="s">
        <v>4</v>
      </c>
      <c r="C106" s="20" t="s">
        <v>112</v>
      </c>
      <c r="F106" s="98">
        <v>139556961.71978024</v>
      </c>
      <c r="G106" s="71">
        <v>136754840.05524862</v>
      </c>
    </row>
    <row r="107" spans="1:8" x14ac:dyDescent="0.25">
      <c r="A107" s="9" t="s">
        <v>103</v>
      </c>
      <c r="B107" s="2" t="s">
        <v>6</v>
      </c>
      <c r="C107" s="30" t="s">
        <v>69</v>
      </c>
      <c r="D107" s="22"/>
      <c r="E107" s="21"/>
      <c r="F107" s="121">
        <f>F104*1000000/F106</f>
        <v>2.2453207180676755</v>
      </c>
      <c r="G107" s="74">
        <f>G104*1000000/G106</f>
        <v>2.8068845541037044</v>
      </c>
    </row>
    <row r="110" spans="1:8" x14ac:dyDescent="0.25">
      <c r="C110" s="87" t="s">
        <v>124</v>
      </c>
      <c r="F110" s="28" t="str">
        <f>+$E$3</f>
        <v>HY 2020</v>
      </c>
      <c r="G110" s="49" t="str">
        <f>+$G$3</f>
        <v>HY 2021</v>
      </c>
    </row>
    <row r="111" spans="1:8" x14ac:dyDescent="0.25">
      <c r="B111" s="2" t="s">
        <v>0</v>
      </c>
      <c r="C111" s="5" t="s">
        <v>125</v>
      </c>
      <c r="F111" s="97">
        <v>105.41208664</v>
      </c>
      <c r="G111" s="71">
        <v>111.30222767999999</v>
      </c>
    </row>
    <row r="112" spans="1:8" x14ac:dyDescent="0.25">
      <c r="B112" s="2" t="s">
        <v>1</v>
      </c>
      <c r="C112" s="20" t="s">
        <v>105</v>
      </c>
      <c r="F112" s="100">
        <v>138700114</v>
      </c>
      <c r="G112" s="72">
        <v>135734424</v>
      </c>
    </row>
    <row r="113" spans="1:7" x14ac:dyDescent="0.25">
      <c r="A113" s="32" t="s">
        <v>24</v>
      </c>
      <c r="B113" s="1" t="s">
        <v>3</v>
      </c>
      <c r="C113" s="10" t="s">
        <v>68</v>
      </c>
      <c r="F113" s="122">
        <v>0.76</v>
      </c>
      <c r="G113" s="75">
        <f>G111*1000000/G112</f>
        <v>0.82</v>
      </c>
    </row>
    <row r="116" spans="1:7" x14ac:dyDescent="0.25">
      <c r="C116" s="87" t="s">
        <v>70</v>
      </c>
      <c r="F116" s="28" t="str">
        <f>+$E$3</f>
        <v>HY 2020</v>
      </c>
      <c r="G116" s="49" t="str">
        <f>+$G$3</f>
        <v>HY 2021</v>
      </c>
    </row>
    <row r="117" spans="1:7" x14ac:dyDescent="0.25">
      <c r="B117" s="2" t="s">
        <v>0</v>
      </c>
      <c r="C117" s="5" t="s">
        <v>71</v>
      </c>
      <c r="F117" s="97">
        <v>221.2976041</v>
      </c>
      <c r="G117" s="71">
        <v>442.66542905</v>
      </c>
    </row>
    <row r="118" spans="1:7" x14ac:dyDescent="0.25">
      <c r="B118" s="2" t="s">
        <v>1</v>
      </c>
      <c r="C118" s="20" t="s">
        <v>112</v>
      </c>
      <c r="F118" s="100">
        <v>139556961.71978024</v>
      </c>
      <c r="G118" s="72">
        <v>136754840.05524862</v>
      </c>
    </row>
    <row r="119" spans="1:7" x14ac:dyDescent="0.25">
      <c r="A119" s="32" t="s">
        <v>24</v>
      </c>
      <c r="B119" s="1" t="s">
        <v>3</v>
      </c>
      <c r="C119" s="10" t="s">
        <v>72</v>
      </c>
      <c r="F119" s="122">
        <f>F117*1000000/F118</f>
        <v>1.5857152618752819</v>
      </c>
      <c r="G119" s="75">
        <f>G117*1000000/G118</f>
        <v>3.2369269626666544</v>
      </c>
    </row>
    <row r="122" spans="1:7" ht="14.25" customHeight="1" x14ac:dyDescent="0.25">
      <c r="C122" s="87" t="s">
        <v>88</v>
      </c>
      <c r="F122" s="28" t="str">
        <f>+$E$3</f>
        <v>HY 2020</v>
      </c>
      <c r="G122" s="49" t="str">
        <f>+$G$3</f>
        <v>HY 2021</v>
      </c>
    </row>
    <row r="123" spans="1:7" x14ac:dyDescent="0.25">
      <c r="B123" s="2" t="s">
        <v>0</v>
      </c>
      <c r="C123" s="5" t="s">
        <v>90</v>
      </c>
      <c r="F123" s="114">
        <v>1663.9578208299999</v>
      </c>
      <c r="G123" s="71">
        <v>1749.7721192500001</v>
      </c>
    </row>
    <row r="124" spans="1:7" x14ac:dyDescent="0.25">
      <c r="B124" s="2" t="s">
        <v>1</v>
      </c>
      <c r="C124" s="20" t="s">
        <v>110</v>
      </c>
      <c r="F124" s="118">
        <v>170.11835134999998</v>
      </c>
      <c r="G124" s="72">
        <v>0</v>
      </c>
    </row>
    <row r="125" spans="1:7" ht="15.75" x14ac:dyDescent="0.25">
      <c r="A125" s="32" t="s">
        <v>91</v>
      </c>
      <c r="B125" s="1" t="s">
        <v>3</v>
      </c>
      <c r="C125" s="10" t="s">
        <v>92</v>
      </c>
      <c r="F125" s="123">
        <v>6.9149223998096865E-2</v>
      </c>
      <c r="G125" s="56">
        <f>(G123)/(F123)-1</f>
        <v>5.1572400060714951E-2</v>
      </c>
    </row>
    <row r="126" spans="1:7" x14ac:dyDescent="0.25">
      <c r="C126" s="82" t="s">
        <v>126</v>
      </c>
    </row>
    <row r="127" spans="1:7" x14ac:dyDescent="0.25">
      <c r="C127" s="85" t="s">
        <v>127</v>
      </c>
    </row>
    <row r="128" spans="1:7" x14ac:dyDescent="0.25">
      <c r="C128" s="85"/>
    </row>
    <row r="130" spans="1:7" ht="14.25" customHeight="1" x14ac:dyDescent="0.25">
      <c r="C130" s="87" t="s">
        <v>89</v>
      </c>
      <c r="E130" s="28" t="str">
        <f>$D$8</f>
        <v>FY 2019</v>
      </c>
      <c r="F130" s="28" t="str">
        <f>$F$8</f>
        <v>FY 2020</v>
      </c>
      <c r="G130" s="49" t="str">
        <f>+$G$3</f>
        <v>HY 2021</v>
      </c>
    </row>
    <row r="131" spans="1:7" x14ac:dyDescent="0.25">
      <c r="A131" s="41"/>
      <c r="B131" s="2" t="s">
        <v>0</v>
      </c>
      <c r="C131" s="42" t="s">
        <v>93</v>
      </c>
      <c r="E131" s="14">
        <v>34953.706248129994</v>
      </c>
      <c r="F131" s="97">
        <v>37504.73199031</v>
      </c>
      <c r="G131" s="54">
        <v>34444.539851760004</v>
      </c>
    </row>
    <row r="132" spans="1:7" x14ac:dyDescent="0.25">
      <c r="A132" s="41"/>
      <c r="B132" s="2" t="s">
        <v>1</v>
      </c>
      <c r="C132" s="42" t="s">
        <v>94</v>
      </c>
      <c r="E132" s="8">
        <v>12476.96644805</v>
      </c>
      <c r="F132" s="100">
        <v>13137.074785779998</v>
      </c>
      <c r="G132" s="51">
        <v>13986.915444030001</v>
      </c>
    </row>
    <row r="133" spans="1:7" s="22" customFormat="1" x14ac:dyDescent="0.25">
      <c r="A133" s="9" t="s">
        <v>95</v>
      </c>
      <c r="B133" s="2" t="s">
        <v>3</v>
      </c>
      <c r="C133" s="83" t="s">
        <v>104</v>
      </c>
      <c r="E133" s="18">
        <f>E131+E132</f>
        <v>47430.672696179994</v>
      </c>
      <c r="F133" s="101">
        <f t="shared" ref="F133:G133" si="0">F131+F132</f>
        <v>50641.806776090001</v>
      </c>
      <c r="G133" s="60">
        <f t="shared" si="0"/>
        <v>48431.455295790001</v>
      </c>
    </row>
    <row r="134" spans="1:7" x14ac:dyDescent="0.25">
      <c r="A134" s="41"/>
      <c r="B134" s="2" t="s">
        <v>4</v>
      </c>
      <c r="C134" s="43" t="s">
        <v>96</v>
      </c>
      <c r="E134" s="14">
        <v>6751.9102415699999</v>
      </c>
      <c r="F134" s="98">
        <v>9671.7954851699997</v>
      </c>
      <c r="G134" s="54">
        <v>6781.9477228900005</v>
      </c>
    </row>
    <row r="135" spans="1:7" x14ac:dyDescent="0.25">
      <c r="A135" s="41"/>
      <c r="B135" s="2" t="s">
        <v>6</v>
      </c>
      <c r="C135" s="43" t="s">
        <v>97</v>
      </c>
      <c r="E135" s="14">
        <v>2480.22950317</v>
      </c>
      <c r="F135" s="98">
        <v>2240.5734621900001</v>
      </c>
      <c r="G135" s="54">
        <v>2290.8827835399998</v>
      </c>
    </row>
    <row r="136" spans="1:7" x14ac:dyDescent="0.25">
      <c r="A136" s="41"/>
      <c r="B136" s="2" t="s">
        <v>8</v>
      </c>
      <c r="C136" s="44" t="s">
        <v>98</v>
      </c>
      <c r="E136" s="8">
        <v>733.48230586474779</v>
      </c>
      <c r="F136" s="100">
        <v>702.10416155094811</v>
      </c>
      <c r="G136" s="51">
        <v>687.96451820280845</v>
      </c>
    </row>
    <row r="137" spans="1:7" x14ac:dyDescent="0.25">
      <c r="A137" s="9" t="s">
        <v>99</v>
      </c>
      <c r="B137" s="2" t="s">
        <v>10</v>
      </c>
      <c r="C137" s="45" t="s">
        <v>100</v>
      </c>
      <c r="E137" s="18">
        <f>E133-(E134+E135+E136)</f>
        <v>37465.050645575247</v>
      </c>
      <c r="F137" s="101">
        <f t="shared" ref="F137:G137" si="1">F133-(F134+F135+F136)</f>
        <v>38027.333667179053</v>
      </c>
      <c r="G137" s="60">
        <f t="shared" si="1"/>
        <v>38670.66027115719</v>
      </c>
    </row>
    <row r="138" spans="1:7" x14ac:dyDescent="0.25">
      <c r="A138" s="40" t="s">
        <v>46</v>
      </c>
      <c r="B138" s="2" t="s">
        <v>11</v>
      </c>
      <c r="C138" s="45" t="s">
        <v>101</v>
      </c>
      <c r="F138" s="94">
        <f>AVERAGE(E137,F137)</f>
        <v>37746.192156377147</v>
      </c>
      <c r="G138" s="124">
        <f>AVERAGE(F137,G137)</f>
        <v>38348.996969168118</v>
      </c>
    </row>
    <row r="139" spans="1:7" x14ac:dyDescent="0.25">
      <c r="C139" s="46"/>
      <c r="F139" s="98"/>
      <c r="G139" s="54"/>
    </row>
    <row r="140" spans="1:7" x14ac:dyDescent="0.25">
      <c r="A140" s="41"/>
      <c r="B140" s="2" t="s">
        <v>12</v>
      </c>
      <c r="C140" s="46" t="s">
        <v>128</v>
      </c>
      <c r="F140" s="98">
        <v>-170.81138095</v>
      </c>
      <c r="G140" s="54">
        <v>-161.14709540000001</v>
      </c>
    </row>
    <row r="141" spans="1:7" x14ac:dyDescent="0.25">
      <c r="C141" s="47"/>
      <c r="F141" s="98"/>
      <c r="G141" s="54"/>
    </row>
    <row r="142" spans="1:7" s="22" customFormat="1" x14ac:dyDescent="0.25">
      <c r="A142" s="9" t="s">
        <v>135</v>
      </c>
      <c r="B142" s="2" t="s">
        <v>19</v>
      </c>
      <c r="C142" s="48" t="s">
        <v>102</v>
      </c>
      <c r="E142" s="21"/>
      <c r="F142" s="94">
        <f>-F140/F138*10000</f>
        <v>45.252612566150397</v>
      </c>
      <c r="G142" s="60">
        <f>-G140/G138*10000</f>
        <v>42.021202152838384</v>
      </c>
    </row>
  </sheetData>
  <pageMargins left="0.25" right="0.25" top="0.75" bottom="0.75" header="0.3" footer="0.3"/>
  <pageSetup paperSize="256" scale="69" fitToHeight="0" orientation="portrait" r:id="rId1"/>
  <ignoredErrors>
    <ignoredError sqref="F11:G14 D20:E21 F61:G62 F129:G130 G8 F18:G19 F16:F17 D24:G27 F39:G39 F41:G44 F49:G50 F53:G54 F64:G69 F75:G75 F77:G77 F79:G79 F82:G86 F89:G90 F93:G94 F104:G105 F107:G109 F114:G116 F119:G122 F133:G133 F137:G137 F141:G142 G45 F10 F96:G100 F95 G113 F56:G57 G55 F72:G73 D30:G31 F101:G101 F126:G126 D28:G28 F58:G58 F15:G15 F110 F21 G20 F139:G139 F1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HY 2021</vt:lpstr>
      <vt:lpstr>'HY 2021'!Afdrukbereik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2017-08-16T11:38:27Z</cp:lastPrinted>
  <dcterms:created xsi:type="dcterms:W3CDTF">2016-06-20T09:01:04Z</dcterms:created>
  <dcterms:modified xsi:type="dcterms:W3CDTF">2021-08-23T07:21:56Z</dcterms:modified>
</cp:coreProperties>
</file>