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siness.finl.fortis\groups\ARC\MRC\2024\2024-12\E02 Persbericht - financiele analyse\06 Website tabellen\"/>
    </mc:Choice>
  </mc:AlternateContent>
  <xr:revisionPtr revIDLastSave="0" documentId="13_ncr:1_{7DCA9724-6398-4226-94DE-E59FF6419263}" xr6:coauthVersionLast="47" xr6:coauthVersionMax="47" xr10:uidLastSave="{00000000-0000-0000-0000-000000000000}"/>
  <bookViews>
    <workbookView xWindow="28680" yWindow="1995" windowWidth="29040" windowHeight="15840" xr2:uid="{00000000-000D-0000-FFFF-FFFF00000000}"/>
  </bookViews>
  <sheets>
    <sheet name="FY 2024" sheetId="1" r:id="rId1"/>
  </sheets>
  <definedNames>
    <definedName name="_Order1" hidden="1">0</definedName>
    <definedName name="_v3" hidden="1">{"BRIEF",#N/A,FALSE,"BRIEF";"OFFBAL",#N/A,FALSE,"OFFBAL"}</definedName>
    <definedName name="anscount" hidden="1">1</definedName>
    <definedName name="TekstcontroleSchermExcel" hidden="1">{"BRIEF",#N/A,FALSE,"BRIEF";"OFFBAL",#N/A,FALSE,"OFFBAL"}</definedName>
    <definedName name="wrn.TEST." hidden="1">{"BRIEF",#N/A,FALSE,"BRIEF";"OFFBAL",#N/A,FALSE,"OFFBAL"}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4" i="1" l="1"/>
  <c r="E90" i="1"/>
  <c r="F90" i="1"/>
  <c r="E37" i="1" l="1"/>
  <c r="E10" i="1"/>
  <c r="F37" i="1" l="1"/>
  <c r="F168" i="1" l="1"/>
  <c r="E168" i="1"/>
  <c r="F164" i="1"/>
  <c r="E164" i="1"/>
  <c r="E98" i="1" l="1"/>
  <c r="E139" i="1"/>
  <c r="E120" i="1"/>
  <c r="E123" i="1" s="1"/>
  <c r="E143" i="1"/>
  <c r="E150" i="1" s="1"/>
  <c r="E116" i="1"/>
  <c r="E131" i="1" s="1"/>
  <c r="E151" i="1"/>
  <c r="E148" i="1"/>
  <c r="E152" i="1" s="1"/>
  <c r="E128" i="1"/>
  <c r="E94" i="1"/>
  <c r="E108" i="1"/>
  <c r="F98" i="1"/>
  <c r="E105" i="1"/>
  <c r="E100" i="1" l="1"/>
  <c r="E107" i="1"/>
  <c r="E109" i="1"/>
  <c r="E132" i="1"/>
  <c r="E130" i="1"/>
  <c r="E133" i="1" s="1"/>
  <c r="E153" i="1"/>
  <c r="E110" i="1" l="1"/>
  <c r="F148" i="1" l="1"/>
  <c r="F143" i="1"/>
  <c r="F136" i="1"/>
  <c r="E136" i="1"/>
  <c r="E179" i="1"/>
  <c r="E171" i="1"/>
  <c r="E157" i="1"/>
  <c r="F113" i="1"/>
  <c r="E113" i="1"/>
  <c r="E182" i="1" l="1"/>
  <c r="F139" i="1"/>
  <c r="F151" i="1" s="1"/>
  <c r="F120" i="1"/>
  <c r="F123" i="1" s="1"/>
  <c r="F128" i="1"/>
  <c r="F116" i="1"/>
  <c r="F131" i="1" s="1"/>
  <c r="F150" i="1" l="1"/>
  <c r="F130" i="1"/>
  <c r="F152" i="1"/>
  <c r="F153" i="1" s="1"/>
  <c r="F132" i="1"/>
  <c r="F133" i="1" l="1"/>
  <c r="E86" i="1" l="1"/>
  <c r="E18" i="1" l="1"/>
  <c r="E8" i="1" l="1"/>
  <c r="F182" i="1" l="1"/>
  <c r="F94" i="1" l="1"/>
  <c r="F100" i="1" s="1"/>
  <c r="F108" i="1"/>
  <c r="E12" i="1" l="1"/>
  <c r="E14" i="1" s="1"/>
  <c r="F46" i="1" l="1"/>
  <c r="F171" i="1"/>
  <c r="F12" i="1" l="1"/>
  <c r="F179" i="1" l="1"/>
  <c r="F157" i="1"/>
  <c r="F86" i="1"/>
  <c r="F79" i="1"/>
  <c r="F66" i="1"/>
  <c r="F52" i="1"/>
  <c r="F33" i="1"/>
  <c r="D21" i="1" l="1"/>
  <c r="F10" i="1" l="1"/>
  <c r="E52" i="1"/>
  <c r="E79" i="1" l="1"/>
  <c r="E33" i="1"/>
  <c r="E66" i="1"/>
  <c r="E21" i="1"/>
  <c r="F18" i="1" l="1"/>
  <c r="F21" i="1" s="1"/>
  <c r="F82" i="1" l="1"/>
  <c r="F56" i="1" l="1"/>
  <c r="F59" i="1" s="1"/>
  <c r="F42" i="1" l="1"/>
  <c r="F22" i="1" l="1"/>
  <c r="F26" i="1" s="1"/>
  <c r="E42" i="1" l="1"/>
  <c r="E22" i="1"/>
  <c r="E26" i="1" s="1"/>
  <c r="F27" i="1" l="1"/>
  <c r="F48" i="1" l="1"/>
  <c r="E56" i="1" l="1"/>
  <c r="E82" i="1"/>
  <c r="E59" i="1" l="1"/>
  <c r="E60" i="1" s="1"/>
  <c r="E62" i="1" s="1"/>
  <c r="F8" i="1" l="1"/>
  <c r="F14" i="1" s="1"/>
  <c r="D22" i="1" l="1"/>
  <c r="D26" i="1" s="1"/>
  <c r="E27" i="1" l="1"/>
  <c r="F105" i="1" l="1"/>
  <c r="F109" i="1" s="1"/>
  <c r="F107" i="1" l="1"/>
  <c r="F110" i="1" s="1"/>
  <c r="E161" i="1" l="1"/>
  <c r="E46" i="1" l="1"/>
  <c r="E48" i="1" s="1"/>
  <c r="E70" i="1" l="1"/>
  <c r="E74" i="1" l="1"/>
  <c r="E75" i="1"/>
  <c r="F70" i="1" l="1"/>
  <c r="F75" i="1" l="1"/>
  <c r="F74" i="1"/>
  <c r="E29" i="1" l="1"/>
  <c r="F60" i="1" l="1"/>
  <c r="F62" i="1" s="1"/>
  <c r="F161" i="1" l="1"/>
  <c r="F29" i="1" l="1"/>
</calcChain>
</file>

<file path=xl/sharedStrings.xml><?xml version="1.0" encoding="utf-8"?>
<sst xmlns="http://schemas.openxmlformats.org/spreadsheetml/2006/main" count="271" uniqueCount="143">
  <si>
    <t>a</t>
  </si>
  <si>
    <t>b</t>
  </si>
  <si>
    <t>a + b =</t>
  </si>
  <si>
    <t>c</t>
  </si>
  <si>
    <t>d</t>
  </si>
  <si>
    <t>average d =</t>
  </si>
  <si>
    <t>e</t>
  </si>
  <si>
    <t>c / e =</t>
  </si>
  <si>
    <t>f</t>
  </si>
  <si>
    <t>a + b + c =</t>
  </si>
  <si>
    <t>g</t>
  </si>
  <si>
    <t>h</t>
  </si>
  <si>
    <t>i</t>
  </si>
  <si>
    <t>Interest coverage ratio</t>
  </si>
  <si>
    <t>Double leverage</t>
  </si>
  <si>
    <t>Double leverage (%)</t>
  </si>
  <si>
    <t>Required capital</t>
  </si>
  <si>
    <t>j</t>
  </si>
  <si>
    <t>k</t>
  </si>
  <si>
    <t>l</t>
  </si>
  <si>
    <t>m</t>
  </si>
  <si>
    <t>n</t>
  </si>
  <si>
    <t>a / b =</t>
  </si>
  <si>
    <t>Return on Equity</t>
  </si>
  <si>
    <t>Total equity attributable to shareholders</t>
  </si>
  <si>
    <t>Average total equity attributable to shareholders</t>
  </si>
  <si>
    <t>Average total equity attributable to shareholders - adjusted</t>
  </si>
  <si>
    <t>Financial leverage</t>
  </si>
  <si>
    <t>5% hybrid</t>
  </si>
  <si>
    <t>Total debt</t>
  </si>
  <si>
    <t>Financial leverage (%)</t>
  </si>
  <si>
    <t>Hybrid capital (T1, T2)</t>
  </si>
  <si>
    <t>Total interest expenses</t>
  </si>
  <si>
    <t>Total invested capital</t>
  </si>
  <si>
    <t>Eligible own funds</t>
  </si>
  <si>
    <t>Subordinated loans</t>
  </si>
  <si>
    <t>5.125% subordinated liability</t>
  </si>
  <si>
    <t>Hybrid capital</t>
  </si>
  <si>
    <t>e + f =</t>
  </si>
  <si>
    <t>g / d =</t>
  </si>
  <si>
    <t>a.s.r.</t>
  </si>
  <si>
    <t>Net insurance claims and benefits (after corrections)</t>
  </si>
  <si>
    <t>o</t>
  </si>
  <si>
    <t>p</t>
  </si>
  <si>
    <t>Operating result per share (€)</t>
  </si>
  <si>
    <t>Basic earnings per share (on IFRS basis)</t>
  </si>
  <si>
    <t>Profit for the year attributable to shareholders</t>
  </si>
  <si>
    <t>Basic earnings per share (€)</t>
  </si>
  <si>
    <t>Double leverage (€ m)</t>
  </si>
  <si>
    <t>3.375% subordinated liability</t>
  </si>
  <si>
    <t>Number of shares outstanding (weighted average)</t>
  </si>
  <si>
    <t>Net result excl. costs for hybrid capital</t>
  </si>
  <si>
    <t>Costs for hybrid capital</t>
  </si>
  <si>
    <t>Total equity attributable to shareholders (excl, unrealised gains / losses and non-core operations)</t>
  </si>
  <si>
    <t>(in € millions, unless stated otherwise)</t>
  </si>
  <si>
    <t>Return on equity (%)</t>
  </si>
  <si>
    <t>Operating return on equity (%)</t>
  </si>
  <si>
    <t>Solvency II ratio (after dividend) (%)</t>
  </si>
  <si>
    <t>Claims ratio (%)</t>
  </si>
  <si>
    <t>Commission ratio (%)</t>
  </si>
  <si>
    <t>Expense ratio (%)</t>
  </si>
  <si>
    <t>FY 2022</t>
  </si>
  <si>
    <t>q</t>
  </si>
  <si>
    <t>Operating return on equity</t>
  </si>
  <si>
    <t>Total equity and CSM</t>
  </si>
  <si>
    <t>Operational result before tax and interest expenses</t>
  </si>
  <si>
    <t>Interest coverage ratio (operational result)</t>
  </si>
  <si>
    <t xml:space="preserve">Insurance Contract Revenue </t>
  </si>
  <si>
    <t>Insurance contract revenue ceded to reinsurers</t>
  </si>
  <si>
    <t>Net insurance contract revenue</t>
  </si>
  <si>
    <t>Incurred claims and benefits</t>
  </si>
  <si>
    <t>Insurance claims and benefits recovered from reinsurers</t>
  </si>
  <si>
    <t>d + e =</t>
  </si>
  <si>
    <t>Correction: incidental 'NEA Inflation in LIC'</t>
  </si>
  <si>
    <t>- of which: Commissions</t>
  </si>
  <si>
    <t>- of which: other insurance service operating expenses</t>
  </si>
  <si>
    <t>Correction: incidental 'changes future services loss component'</t>
  </si>
  <si>
    <t>-h / c =</t>
  </si>
  <si>
    <t>Total available capital (incl. CSM)</t>
  </si>
  <si>
    <t>e / d =</t>
  </si>
  <si>
    <t>e - d =</t>
  </si>
  <si>
    <t>Combined ratio Disability</t>
  </si>
  <si>
    <t>Total corrections on claims and benefits</t>
  </si>
  <si>
    <t>Combined ratio P&amp;C</t>
  </si>
  <si>
    <t>Net Incurred claims and benefits</t>
  </si>
  <si>
    <t>Insurance service operating expenses</t>
  </si>
  <si>
    <t>g - h =</t>
  </si>
  <si>
    <t>-f / c =</t>
  </si>
  <si>
    <t>-i / c =</t>
  </si>
  <si>
    <t>j + k + l =</t>
  </si>
  <si>
    <t>Combined ratio Disability (%)</t>
  </si>
  <si>
    <t>Combined ratio P&amp;C (%)</t>
  </si>
  <si>
    <t>Operating result per share (gross)</t>
  </si>
  <si>
    <t>-k / c =</t>
  </si>
  <si>
    <t>Contractual Service Margin - net of tax</t>
  </si>
  <si>
    <t>Combined ratio Health</t>
  </si>
  <si>
    <t>Combined ratio Health (%)</t>
  </si>
  <si>
    <t>f + g =</t>
  </si>
  <si>
    <t>FY 2023</t>
  </si>
  <si>
    <t>-/- Unrealised gains / losses for recyclable items (as part of equity)</t>
  </si>
  <si>
    <t>-j / c =</t>
  </si>
  <si>
    <t>Net Insurance claims and benefits</t>
  </si>
  <si>
    <t>Net Insurance claims and benefits (before corrections)</t>
  </si>
  <si>
    <t>i - j =</t>
  </si>
  <si>
    <t>l + m + n =</t>
  </si>
  <si>
    <t>Number of shares outstanding (as per end of period)</t>
  </si>
  <si>
    <t>Dividend per share (€) *</t>
  </si>
  <si>
    <t>-/- Equity of non-core (Real Estate Development)</t>
  </si>
  <si>
    <t>7.000% subordinated liability</t>
  </si>
  <si>
    <t>Senior loans</t>
  </si>
  <si>
    <t>Solvency II ratio (including financial institutions)</t>
  </si>
  <si>
    <t>OCC per share</t>
  </si>
  <si>
    <t>OCC per share (€)</t>
  </si>
  <si>
    <t>Net result attributable to holders of equity instruments</t>
  </si>
  <si>
    <t>Other equity instruments and subordinated liabilities (hybrid)</t>
  </si>
  <si>
    <t>FY 2024</t>
  </si>
  <si>
    <t>FULL YEAR 2024 AND 2023</t>
  </si>
  <si>
    <t>-/- Equity of discontinued operations (Knab)</t>
  </si>
  <si>
    <t>b + c + d + e =</t>
  </si>
  <si>
    <t>average f =</t>
  </si>
  <si>
    <t>a / g =</t>
  </si>
  <si>
    <t>6.625% hybrid</t>
  </si>
  <si>
    <t>4.625% hybrid</t>
  </si>
  <si>
    <t>d + e + f + g + h =</t>
  </si>
  <si>
    <t>j + k =</t>
  </si>
  <si>
    <t>i / (i + l) =</t>
  </si>
  <si>
    <t>Total dividend per share</t>
  </si>
  <si>
    <t>Total dividend</t>
  </si>
  <si>
    <t>Correction: impact of hedging for pre-recognition interest rate movements</t>
  </si>
  <si>
    <t>r</t>
  </si>
  <si>
    <t xml:space="preserve">h + i = </t>
  </si>
  <si>
    <t>g + j =</t>
  </si>
  <si>
    <t>l - m =</t>
  </si>
  <si>
    <t>-k / d =</t>
  </si>
  <si>
    <t>-m / d =</t>
  </si>
  <si>
    <t>-n / d =</t>
  </si>
  <si>
    <t>o + p + q =</t>
  </si>
  <si>
    <r>
      <t xml:space="preserve">Operating result, attributable to shareholders </t>
    </r>
    <r>
      <rPr>
        <vertAlign val="superscript"/>
        <sz val="10"/>
        <color theme="1"/>
        <rFont val="Arial"/>
        <family val="2"/>
      </rPr>
      <t>1</t>
    </r>
  </si>
  <si>
    <r>
      <rPr>
        <i/>
        <vertAlign val="superscript"/>
        <sz val="10"/>
        <color theme="1"/>
        <rFont val="Arial"/>
        <family val="2"/>
      </rPr>
      <t>1</t>
    </r>
    <r>
      <rPr>
        <i/>
        <sz val="10"/>
        <color theme="1"/>
        <rFont val="Arial"/>
        <family val="2"/>
      </rPr>
      <t>) 2023 adjusted for discontinued status of Knab</t>
    </r>
  </si>
  <si>
    <r>
      <t>Operating net result (attributable to shareholders)</t>
    </r>
    <r>
      <rPr>
        <b/>
        <vertAlign val="superscript"/>
        <sz val="10"/>
        <color theme="1"/>
        <rFont val="Arial"/>
        <family val="2"/>
      </rPr>
      <t xml:space="preserve"> 1</t>
    </r>
  </si>
  <si>
    <r>
      <t xml:space="preserve">Operational result before tax </t>
    </r>
    <r>
      <rPr>
        <vertAlign val="superscript"/>
        <sz val="10"/>
        <color theme="1"/>
        <rFont val="Arial"/>
        <family val="2"/>
      </rPr>
      <t>1</t>
    </r>
  </si>
  <si>
    <r>
      <t xml:space="preserve">OCC </t>
    </r>
    <r>
      <rPr>
        <vertAlign val="superscript"/>
        <sz val="10"/>
        <color theme="1"/>
        <rFont val="Arial"/>
        <family val="2"/>
      </rPr>
      <t>1</t>
    </r>
  </si>
  <si>
    <t>* due to the share buy-back following the sale of Knab (between interim and final dividend payment), there is no mathematical relation between dividend paid, number of shares outstanding and DPS in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</si>
</sst>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 * #,##0.0_ ;_ * \-#,##0.0_ ;_ * &quot;-&quot;??_ ;_ @_ "/>
    <numFmt numFmtId="165" formatCode="_ * #,##0_ ;_ * \-#,##0_ ;_ * &quot;-&quot;??_ ;_ @_ "/>
    <numFmt numFmtId="166" formatCode="0.0%"/>
    <numFmt numFmtId="167" formatCode="_(* #,##0.00_);_(* \(#,##0.00\);_(* &quot;-&quot;??_);_(@_)"/>
    <numFmt numFmtId="168" formatCode="0_ ;\-0\ "/>
    <numFmt numFmtId="169" formatCode="_ * #,##0.000_ ;_ * \-#,##0.000_ ;_ * &quot;-&quot;??_ ;_ @_ "/>
    <numFmt numFmtId="170" formatCode="0.0000%"/>
    <numFmt numFmtId="171" formatCode="0.0000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8"/>
      <color indexed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sz val="14"/>
      <name val="Arial"/>
      <family val="2"/>
    </font>
    <font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EEF4E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theme="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0" fontId="6" fillId="0" borderId="0">
      <alignment vertical="top"/>
    </xf>
    <xf numFmtId="0" fontId="11" fillId="0" borderId="0" applyNumberFormat="0" applyFill="0" applyBorder="0" applyAlignment="0" applyProtection="0">
      <alignment horizontal="right" wrapText="1"/>
    </xf>
    <xf numFmtId="0" fontId="1" fillId="0" borderId="0" applyNumberFormat="0" applyFont="0" applyFill="0" applyBorder="0" applyProtection="0">
      <alignment horizontal="left" wrapText="1" indent="1"/>
    </xf>
  </cellStyleXfs>
  <cellXfs count="107">
    <xf numFmtId="0" fontId="0" fillId="0" borderId="0" xfId="0"/>
    <xf numFmtId="164" fontId="4" fillId="0" borderId="0" xfId="1" applyNumberFormat="1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165" fontId="4" fillId="0" borderId="0" xfId="1" applyNumberFormat="1" applyFont="1" applyFill="1" applyAlignment="1">
      <alignment vertical="top"/>
    </xf>
    <xf numFmtId="165" fontId="4" fillId="0" borderId="0" xfId="1" applyNumberFormat="1" applyFont="1" applyFill="1" applyAlignment="1">
      <alignment horizontal="right" vertical="top"/>
    </xf>
    <xf numFmtId="165" fontId="4" fillId="0" borderId="1" xfId="1" applyNumberFormat="1" applyFont="1" applyFill="1" applyBorder="1" applyAlignment="1">
      <alignment horizontal="right" vertical="top"/>
    </xf>
    <xf numFmtId="164" fontId="4" fillId="0" borderId="0" xfId="1" quotePrefix="1" applyNumberFormat="1" applyFont="1" applyFill="1" applyAlignment="1">
      <alignment vertical="top"/>
    </xf>
    <xf numFmtId="0" fontId="5" fillId="0" borderId="0" xfId="0" applyFont="1" applyFill="1" applyAlignment="1">
      <alignment vertical="top"/>
    </xf>
    <xf numFmtId="165" fontId="5" fillId="0" borderId="0" xfId="1" applyNumberFormat="1" applyFont="1" applyFill="1" applyAlignment="1">
      <alignment vertical="top"/>
    </xf>
    <xf numFmtId="165" fontId="5" fillId="0" borderId="0" xfId="1" applyNumberFormat="1" applyFont="1" applyFill="1" applyAlignment="1">
      <alignment horizontal="right" vertical="top"/>
    </xf>
    <xf numFmtId="165" fontId="4" fillId="0" borderId="0" xfId="1" applyNumberFormat="1" applyFont="1" applyFill="1" applyBorder="1" applyAlignment="1">
      <alignment vertical="top"/>
    </xf>
    <xf numFmtId="165" fontId="4" fillId="0" borderId="0" xfId="1" applyNumberFormat="1" applyFont="1" applyFill="1" applyBorder="1" applyAlignment="1">
      <alignment horizontal="right" vertical="top"/>
    </xf>
    <xf numFmtId="164" fontId="4" fillId="0" borderId="0" xfId="1" applyNumberFormat="1" applyFont="1" applyFill="1" applyAlignment="1">
      <alignment horizontal="right" vertical="top"/>
    </xf>
    <xf numFmtId="166" fontId="5" fillId="0" borderId="0" xfId="2" applyNumberFormat="1" applyFont="1" applyFill="1" applyBorder="1" applyAlignment="1">
      <alignment horizontal="right" vertical="top"/>
    </xf>
    <xf numFmtId="166" fontId="4" fillId="0" borderId="0" xfId="2" applyNumberFormat="1" applyFont="1" applyFill="1" applyAlignment="1">
      <alignment horizontal="right" vertical="top"/>
    </xf>
    <xf numFmtId="165" fontId="5" fillId="0" borderId="0" xfId="1" applyNumberFormat="1" applyFont="1" applyFill="1" applyBorder="1" applyAlignment="1">
      <alignment horizontal="right" vertical="top"/>
    </xf>
    <xf numFmtId="166" fontId="5" fillId="0" borderId="0" xfId="2" applyNumberFormat="1" applyFont="1" applyFill="1" applyBorder="1" applyAlignment="1">
      <alignment vertical="top"/>
    </xf>
    <xf numFmtId="164" fontId="5" fillId="0" borderId="0" xfId="1" applyNumberFormat="1" applyFont="1" applyFill="1" applyAlignment="1">
      <alignment horizontal="right" vertical="top"/>
    </xf>
    <xf numFmtId="164" fontId="5" fillId="0" borderId="0" xfId="1" applyNumberFormat="1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Border="1" applyAlignment="1">
      <alignment horizontal="right" vertical="top"/>
    </xf>
    <xf numFmtId="43" fontId="5" fillId="0" borderId="0" xfId="1" applyFont="1" applyFill="1" applyBorder="1" applyAlignment="1">
      <alignment horizontal="right" vertical="top"/>
    </xf>
    <xf numFmtId="168" fontId="5" fillId="0" borderId="1" xfId="1" applyNumberFormat="1" applyFont="1" applyFill="1" applyBorder="1" applyAlignment="1">
      <alignment horizontal="right" vertical="top"/>
    </xf>
    <xf numFmtId="165" fontId="4" fillId="0" borderId="0" xfId="0" applyNumberFormat="1" applyFont="1" applyFill="1" applyBorder="1" applyAlignment="1">
      <alignment vertical="top"/>
    </xf>
    <xf numFmtId="165" fontId="4" fillId="0" borderId="1" xfId="0" applyNumberFormat="1" applyFont="1" applyFill="1" applyBorder="1" applyAlignment="1">
      <alignment horizontal="right" vertical="top"/>
    </xf>
    <xf numFmtId="166" fontId="5" fillId="0" borderId="0" xfId="2" applyNumberFormat="1" applyFont="1" applyFill="1" applyAlignment="1">
      <alignment horizontal="right" vertical="top"/>
    </xf>
    <xf numFmtId="43" fontId="5" fillId="0" borderId="0" xfId="1" applyFont="1" applyFill="1" applyAlignment="1">
      <alignment horizontal="right" vertical="top"/>
    </xf>
    <xf numFmtId="0" fontId="4" fillId="0" borderId="0" xfId="0" applyFont="1" applyFill="1" applyAlignment="1">
      <alignment horizontal="left" vertical="top"/>
    </xf>
    <xf numFmtId="43" fontId="5" fillId="0" borderId="0" xfId="1" applyNumberFormat="1" applyFont="1" applyFill="1" applyAlignment="1">
      <alignment horizontal="right" vertical="top"/>
    </xf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166" fontId="8" fillId="0" borderId="0" xfId="2" applyNumberFormat="1" applyFont="1" applyFill="1" applyBorder="1" applyAlignment="1">
      <alignment vertical="top"/>
    </xf>
    <xf numFmtId="165" fontId="4" fillId="0" borderId="2" xfId="1" applyNumberFormat="1" applyFont="1" applyFill="1" applyBorder="1" applyAlignment="1">
      <alignment horizontal="right" vertical="top"/>
    </xf>
    <xf numFmtId="164" fontId="4" fillId="2" borderId="0" xfId="1" applyNumberFormat="1" applyFont="1" applyFill="1" applyAlignment="1">
      <alignment vertical="top"/>
    </xf>
    <xf numFmtId="164" fontId="10" fillId="0" borderId="0" xfId="1" applyNumberFormat="1" applyFont="1" applyFill="1" applyAlignment="1">
      <alignment vertical="top"/>
    </xf>
    <xf numFmtId="168" fontId="7" fillId="0" borderId="1" xfId="1" applyNumberFormat="1" applyFont="1" applyFill="1" applyBorder="1" applyAlignment="1">
      <alignment horizontal="right" vertical="top"/>
    </xf>
    <xf numFmtId="165" fontId="2" fillId="3" borderId="0" xfId="1" applyNumberFormat="1" applyFont="1" applyFill="1" applyAlignment="1">
      <alignment horizontal="right" vertical="top"/>
    </xf>
    <xf numFmtId="165" fontId="2" fillId="3" borderId="1" xfId="1" applyNumberFormat="1" applyFont="1" applyFill="1" applyBorder="1" applyAlignment="1">
      <alignment horizontal="right" vertical="top"/>
    </xf>
    <xf numFmtId="165" fontId="7" fillId="3" borderId="0" xfId="1" applyNumberFormat="1" applyFont="1" applyFill="1" applyAlignment="1">
      <alignment horizontal="right" vertical="top"/>
    </xf>
    <xf numFmtId="168" fontId="7" fillId="3" borderId="1" xfId="1" applyNumberFormat="1" applyFont="1" applyFill="1" applyBorder="1" applyAlignment="1">
      <alignment horizontal="right" vertical="top"/>
    </xf>
    <xf numFmtId="165" fontId="2" fillId="3" borderId="0" xfId="1" applyNumberFormat="1" applyFont="1" applyFill="1" applyBorder="1" applyAlignment="1">
      <alignment horizontal="right" vertical="top"/>
    </xf>
    <xf numFmtId="164" fontId="2" fillId="3" borderId="0" xfId="1" applyNumberFormat="1" applyFont="1" applyFill="1" applyAlignment="1">
      <alignment horizontal="right" vertical="top"/>
    </xf>
    <xf numFmtId="166" fontId="7" fillId="3" borderId="0" xfId="2" applyNumberFormat="1" applyFont="1" applyFill="1" applyBorder="1" applyAlignment="1">
      <alignment horizontal="right" vertical="top"/>
    </xf>
    <xf numFmtId="166" fontId="7" fillId="0" borderId="0" xfId="2" applyNumberFormat="1" applyFont="1" applyFill="1" applyBorder="1" applyAlignment="1">
      <alignment horizontal="right" vertical="top"/>
    </xf>
    <xf numFmtId="166" fontId="2" fillId="0" borderId="0" xfId="2" applyNumberFormat="1" applyFont="1" applyFill="1" applyAlignment="1">
      <alignment horizontal="right" vertical="top"/>
    </xf>
    <xf numFmtId="165" fontId="2" fillId="3" borderId="2" xfId="1" applyNumberFormat="1" applyFont="1" applyFill="1" applyBorder="1" applyAlignment="1">
      <alignment horizontal="right" vertical="top"/>
    </xf>
    <xf numFmtId="165" fontId="7" fillId="3" borderId="0" xfId="1" applyNumberFormat="1" applyFont="1" applyFill="1" applyBorder="1" applyAlignment="1">
      <alignment horizontal="right" vertical="top"/>
    </xf>
    <xf numFmtId="166" fontId="7" fillId="3" borderId="0" xfId="2" applyNumberFormat="1" applyFont="1" applyFill="1" applyBorder="1" applyAlignment="1">
      <alignment vertical="top"/>
    </xf>
    <xf numFmtId="164" fontId="2" fillId="0" borderId="0" xfId="1" applyNumberFormat="1" applyFont="1" applyFill="1" applyAlignment="1">
      <alignment horizontal="right" vertical="top"/>
    </xf>
    <xf numFmtId="164" fontId="2" fillId="3" borderId="0" xfId="1" applyNumberFormat="1" applyFont="1" applyFill="1" applyAlignment="1">
      <alignment vertical="top"/>
    </xf>
    <xf numFmtId="165" fontId="2" fillId="3" borderId="0" xfId="1" applyNumberFormat="1" applyFont="1" applyFill="1" applyAlignment="1">
      <alignment vertical="top"/>
    </xf>
    <xf numFmtId="165" fontId="2" fillId="3" borderId="1" xfId="1" applyNumberFormat="1" applyFont="1" applyFill="1" applyBorder="1" applyAlignment="1">
      <alignment vertical="top"/>
    </xf>
    <xf numFmtId="165" fontId="7" fillId="3" borderId="0" xfId="1" applyNumberFormat="1" applyFont="1" applyFill="1" applyAlignment="1">
      <alignment vertical="top"/>
    </xf>
    <xf numFmtId="164" fontId="7" fillId="3" borderId="0" xfId="1" applyNumberFormat="1" applyFont="1" applyFill="1" applyAlignment="1">
      <alignment horizontal="right" vertical="top"/>
    </xf>
    <xf numFmtId="164" fontId="2" fillId="0" borderId="0" xfId="1" applyNumberFormat="1" applyFont="1" applyFill="1" applyAlignment="1">
      <alignment vertical="top"/>
    </xf>
    <xf numFmtId="0" fontId="2" fillId="3" borderId="0" xfId="0" applyFont="1" applyFill="1" applyBorder="1" applyAlignment="1">
      <alignment horizontal="right" vertical="top"/>
    </xf>
    <xf numFmtId="165" fontId="7" fillId="3" borderId="0" xfId="0" applyNumberFormat="1" applyFont="1" applyFill="1" applyBorder="1" applyAlignment="1">
      <alignment horizontal="right" vertical="top"/>
    </xf>
    <xf numFmtId="165" fontId="7" fillId="0" borderId="0" xfId="0" applyNumberFormat="1" applyFont="1" applyFill="1" applyBorder="1" applyAlignment="1">
      <alignment horizontal="right" vertical="top"/>
    </xf>
    <xf numFmtId="165" fontId="2" fillId="3" borderId="0" xfId="0" applyNumberFormat="1" applyFont="1" applyFill="1" applyBorder="1" applyAlignment="1">
      <alignment horizontal="right" vertical="top"/>
    </xf>
    <xf numFmtId="9" fontId="7" fillId="3" borderId="0" xfId="2" applyFont="1" applyFill="1" applyBorder="1" applyAlignment="1">
      <alignment horizontal="right" vertical="top"/>
    </xf>
    <xf numFmtId="165" fontId="2" fillId="3" borderId="1" xfId="0" applyNumberFormat="1" applyFont="1" applyFill="1" applyBorder="1" applyAlignment="1">
      <alignment horizontal="right" vertical="top"/>
    </xf>
    <xf numFmtId="166" fontId="2" fillId="3" borderId="0" xfId="2" applyNumberFormat="1" applyFont="1" applyFill="1" applyBorder="1" applyAlignment="1">
      <alignment horizontal="right" vertical="top"/>
    </xf>
    <xf numFmtId="43" fontId="7" fillId="3" borderId="0" xfId="0" applyNumberFormat="1" applyFont="1" applyFill="1" applyBorder="1" applyAlignment="1">
      <alignment horizontal="right" vertical="top"/>
    </xf>
    <xf numFmtId="43" fontId="7" fillId="3" borderId="0" xfId="1" applyNumberFormat="1" applyFont="1" applyFill="1" applyAlignment="1">
      <alignment horizontal="right" vertical="top"/>
    </xf>
    <xf numFmtId="165" fontId="4" fillId="0" borderId="3" xfId="1" applyNumberFormat="1" applyFont="1" applyFill="1" applyBorder="1" applyAlignment="1">
      <alignment vertical="top"/>
    </xf>
    <xf numFmtId="165" fontId="4" fillId="0" borderId="3" xfId="1" applyNumberFormat="1" applyFont="1" applyFill="1" applyBorder="1" applyAlignment="1">
      <alignment horizontal="right" vertical="top"/>
    </xf>
    <xf numFmtId="165" fontId="2" fillId="3" borderId="3" xfId="1" applyNumberFormat="1" applyFont="1" applyFill="1" applyBorder="1" applyAlignment="1">
      <alignment horizontal="right" vertical="top"/>
    </xf>
    <xf numFmtId="165" fontId="5" fillId="0" borderId="0" xfId="1" applyNumberFormat="1" applyFont="1" applyFill="1" applyBorder="1" applyAlignment="1">
      <alignment vertical="top"/>
    </xf>
    <xf numFmtId="168" fontId="5" fillId="0" borderId="1" xfId="1" applyNumberFormat="1" applyFont="1" applyFill="1" applyBorder="1" applyAlignment="1">
      <alignment horizontal="right" vertical="top" wrapText="1"/>
    </xf>
    <xf numFmtId="164" fontId="12" fillId="0" borderId="0" xfId="1" applyNumberFormat="1" applyFont="1" applyFill="1" applyAlignment="1">
      <alignment vertical="top"/>
    </xf>
    <xf numFmtId="10" fontId="4" fillId="0" borderId="0" xfId="2" applyNumberFormat="1" applyFont="1" applyFill="1" applyAlignment="1">
      <alignment vertical="top"/>
    </xf>
    <xf numFmtId="164" fontId="14" fillId="0" borderId="0" xfId="1" applyNumberFormat="1" applyFont="1" applyFill="1" applyAlignment="1">
      <alignment vertical="top"/>
    </xf>
    <xf numFmtId="9" fontId="4" fillId="0" borderId="0" xfId="2" applyFont="1" applyFill="1" applyAlignment="1">
      <alignment vertical="top"/>
    </xf>
    <xf numFmtId="166" fontId="4" fillId="0" borderId="0" xfId="2" applyNumberFormat="1" applyFont="1" applyFill="1" applyAlignment="1">
      <alignment vertical="top"/>
    </xf>
    <xf numFmtId="0" fontId="5" fillId="0" borderId="0" xfId="9" applyFont="1" applyAlignment="1">
      <alignment vertical="center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4" fillId="0" borderId="0" xfId="0" quotePrefix="1" applyFont="1" applyAlignment="1">
      <alignment horizontal="left" vertical="top" indent="1"/>
    </xf>
    <xf numFmtId="164" fontId="13" fillId="4" borderId="0" xfId="1" quotePrefix="1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top"/>
    </xf>
    <xf numFmtId="164" fontId="9" fillId="4" borderId="0" xfId="1" quotePrefix="1" applyNumberFormat="1" applyFont="1" applyFill="1" applyAlignment="1">
      <alignment horizontal="center" vertical="center"/>
    </xf>
    <xf numFmtId="164" fontId="4" fillId="4" borderId="0" xfId="1" applyNumberFormat="1" applyFont="1" applyFill="1" applyAlignment="1">
      <alignment horizontal="right" vertical="top"/>
    </xf>
    <xf numFmtId="164" fontId="2" fillId="4" borderId="0" xfId="1" applyNumberFormat="1" applyFont="1" applyFill="1" applyAlignment="1">
      <alignment horizontal="right" vertical="top"/>
    </xf>
    <xf numFmtId="0" fontId="5" fillId="4" borderId="0" xfId="0" applyFont="1" applyFill="1" applyAlignment="1">
      <alignment vertical="top"/>
    </xf>
    <xf numFmtId="169" fontId="5" fillId="0" borderId="0" xfId="1" applyNumberFormat="1" applyFont="1" applyFill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164" fontId="5" fillId="0" borderId="0" xfId="1" quotePrefix="1" applyNumberFormat="1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0" fontId="2" fillId="0" borderId="0" xfId="0" quotePrefix="1" applyFont="1" applyAlignment="1">
      <alignment horizontal="left" vertical="top" indent="1"/>
    </xf>
    <xf numFmtId="164" fontId="14" fillId="4" borderId="0" xfId="1" applyNumberFormat="1" applyFont="1" applyFill="1" applyAlignment="1">
      <alignment vertical="top"/>
    </xf>
    <xf numFmtId="9" fontId="5" fillId="0" borderId="0" xfId="2" applyNumberFormat="1" applyFont="1" applyFill="1" applyBorder="1" applyAlignment="1">
      <alignment horizontal="right" vertical="top"/>
    </xf>
    <xf numFmtId="0" fontId="4" fillId="0" borderId="0" xfId="0" quotePrefix="1" applyFont="1" applyAlignment="1">
      <alignment vertical="top"/>
    </xf>
    <xf numFmtId="0" fontId="4" fillId="0" borderId="4" xfId="0" quotePrefix="1" applyFont="1" applyBorder="1" applyAlignment="1">
      <alignment vertical="top"/>
    </xf>
    <xf numFmtId="170" fontId="2" fillId="0" borderId="0" xfId="2" applyNumberFormat="1" applyFont="1" applyFill="1" applyAlignment="1">
      <alignment horizontal="right" vertical="top"/>
    </xf>
    <xf numFmtId="171" fontId="4" fillId="0" borderId="0" xfId="2" applyNumberFormat="1" applyFont="1" applyFill="1" applyAlignment="1">
      <alignment horizontal="right" vertical="top"/>
    </xf>
    <xf numFmtId="164" fontId="14" fillId="0" borderId="0" xfId="1" applyNumberFormat="1" applyFont="1" applyFill="1" applyAlignment="1">
      <alignment horizontal="left" vertical="top" wrapText="1"/>
    </xf>
  </cellXfs>
  <cellStyles count="12">
    <cellStyle name="Align_indent_1" xfId="11" xr:uid="{DF2212CF-BB92-41E7-843C-CAAFF8D59C86}"/>
    <cellStyle name="Fnt_default_11_bold" xfId="10" xr:uid="{0E315AC2-FA4A-46B0-8A7A-AEEC21B7079C}"/>
    <cellStyle name="Hyperlink 2" xfId="7" xr:uid="{00000000-0005-0000-0000-000001000000}"/>
    <cellStyle name="Komma" xfId="1" builtinId="3"/>
    <cellStyle name="Komma 11" xfId="8" xr:uid="{00000000-0005-0000-0000-000003000000}"/>
    <cellStyle name="Normal" xfId="9" xr:uid="{00000000-0005-0000-0000-000004000000}"/>
    <cellStyle name="Procent" xfId="2" builtinId="5"/>
    <cellStyle name="Standaard" xfId="0" builtinId="0"/>
    <cellStyle name="Standaard 14" xfId="4" xr:uid="{00000000-0005-0000-0000-000007000000}"/>
    <cellStyle name="Standaard 2 2 2 3" xfId="6" xr:uid="{00000000-0005-0000-0000-000008000000}"/>
    <cellStyle name="Standaard 2 2 3" xfId="3" xr:uid="{00000000-0005-0000-0000-000009000000}"/>
    <cellStyle name="Standaard 3 6" xfId="5" xr:uid="{00000000-0005-0000-0000-00000A000000}"/>
  </cellStyles>
  <dxfs count="0"/>
  <tableStyles count="0" defaultTableStyle="TableStyleMedium2" defaultPivotStyle="PivotStyleLight16"/>
  <colors>
    <mruColors>
      <color rgb="FFEEF4E3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87"/>
  <sheetViews>
    <sheetView showGridLines="0" tabSelected="1" zoomScaleNormal="100" workbookViewId="0">
      <selection activeCell="G35" sqref="G35"/>
    </sheetView>
  </sheetViews>
  <sheetFormatPr defaultColWidth="9.109375" defaultRowHeight="13.2" x14ac:dyDescent="0.3"/>
  <cols>
    <col min="1" max="1" width="17.5546875" style="8" customWidth="1"/>
    <col min="2" max="2" width="3.109375" style="2" bestFit="1" customWidth="1"/>
    <col min="3" max="3" width="72.88671875" style="1" bestFit="1" customWidth="1"/>
    <col min="4" max="4" width="12.44140625" style="1" customWidth="1"/>
    <col min="5" max="5" width="14" style="14" bestFit="1" customWidth="1"/>
    <col min="6" max="6" width="14" style="53" bestFit="1" customWidth="1"/>
    <col min="7" max="16384" width="9.109375" style="1"/>
  </cols>
  <sheetData>
    <row r="1" spans="1:8" ht="17.399999999999999" x14ac:dyDescent="0.3">
      <c r="A1" s="86" t="s">
        <v>40</v>
      </c>
      <c r="B1" s="87"/>
      <c r="C1" s="88" t="s">
        <v>116</v>
      </c>
      <c r="D1" s="100"/>
      <c r="E1" s="89"/>
      <c r="F1" s="90"/>
    </row>
    <row r="3" spans="1:8" x14ac:dyDescent="0.3">
      <c r="C3" s="79" t="s">
        <v>54</v>
      </c>
    </row>
    <row r="5" spans="1:8" x14ac:dyDescent="0.3">
      <c r="A5" s="1"/>
      <c r="C5" s="91" t="s">
        <v>23</v>
      </c>
      <c r="D5" s="3"/>
      <c r="E5" s="73" t="s">
        <v>98</v>
      </c>
      <c r="F5" s="40" t="s">
        <v>115</v>
      </c>
    </row>
    <row r="6" spans="1:8" x14ac:dyDescent="0.3">
      <c r="B6" s="2" t="s">
        <v>0</v>
      </c>
      <c r="C6" s="80" t="s">
        <v>113</v>
      </c>
      <c r="D6" s="5"/>
      <c r="E6" s="37">
        <v>1086.0551805299999</v>
      </c>
      <c r="F6" s="41">
        <v>945.62665535999997</v>
      </c>
    </row>
    <row r="7" spans="1:8" x14ac:dyDescent="0.3">
      <c r="B7" s="2" t="s">
        <v>1</v>
      </c>
      <c r="C7" s="80" t="s">
        <v>52</v>
      </c>
      <c r="D7" s="5"/>
      <c r="E7" s="7">
        <v>-48.125</v>
      </c>
      <c r="F7" s="42">
        <v>-58.851374310770495</v>
      </c>
    </row>
    <row r="8" spans="1:8" x14ac:dyDescent="0.3">
      <c r="A8" s="8" t="s">
        <v>2</v>
      </c>
      <c r="B8" s="2" t="s">
        <v>3</v>
      </c>
      <c r="C8" s="81" t="s">
        <v>51</v>
      </c>
      <c r="D8" s="10"/>
      <c r="E8" s="11">
        <f>E6+E7</f>
        <v>1037.9301805299999</v>
      </c>
      <c r="F8" s="43">
        <f>F6+F7</f>
        <v>886.77528104922953</v>
      </c>
    </row>
    <row r="9" spans="1:8" x14ac:dyDescent="0.3">
      <c r="D9" s="10"/>
      <c r="E9" s="11"/>
      <c r="F9" s="43"/>
    </row>
    <row r="10" spans="1:8" x14ac:dyDescent="0.3">
      <c r="D10" s="27" t="s">
        <v>61</v>
      </c>
      <c r="E10" s="73" t="str">
        <f>+E5</f>
        <v>FY 2023</v>
      </c>
      <c r="F10" s="44" t="str">
        <f>F5</f>
        <v>FY 2024</v>
      </c>
    </row>
    <row r="11" spans="1:8" x14ac:dyDescent="0.3">
      <c r="B11" s="2" t="s">
        <v>4</v>
      </c>
      <c r="C11" s="80" t="s">
        <v>24</v>
      </c>
      <c r="D11" s="12">
        <v>5145.7427601200006</v>
      </c>
      <c r="E11" s="13">
        <v>8338.5852208300003</v>
      </c>
      <c r="F11" s="45">
        <v>8779.0472103800003</v>
      </c>
    </row>
    <row r="12" spans="1:8" x14ac:dyDescent="0.3">
      <c r="A12" s="8" t="s">
        <v>5</v>
      </c>
      <c r="B12" s="2" t="s">
        <v>6</v>
      </c>
      <c r="C12" s="81" t="s">
        <v>25</v>
      </c>
      <c r="D12" s="11"/>
      <c r="E12" s="11">
        <f>AVERAGE(D11,E11)</f>
        <v>6742.1639904750009</v>
      </c>
      <c r="F12" s="43">
        <f>AVERAGE(E11,F11)</f>
        <v>8558.8162156050003</v>
      </c>
    </row>
    <row r="13" spans="1:8" x14ac:dyDescent="0.3">
      <c r="C13" s="80"/>
      <c r="D13" s="14"/>
      <c r="F13" s="46"/>
    </row>
    <row r="14" spans="1:8" x14ac:dyDescent="0.3">
      <c r="A14" s="8" t="s">
        <v>7</v>
      </c>
      <c r="B14" s="2" t="s">
        <v>8</v>
      </c>
      <c r="C14" s="81" t="s">
        <v>55</v>
      </c>
      <c r="D14" s="15"/>
      <c r="E14" s="15">
        <f>+E8/E12</f>
        <v>0.15394614874339113</v>
      </c>
      <c r="F14" s="47">
        <f>+F8/F12</f>
        <v>0.10360957154710276</v>
      </c>
      <c r="H14" s="78"/>
    </row>
    <row r="15" spans="1:8" x14ac:dyDescent="0.3">
      <c r="E15" s="15"/>
      <c r="F15" s="48"/>
    </row>
    <row r="16" spans="1:8" x14ac:dyDescent="0.3">
      <c r="C16" s="74"/>
      <c r="E16" s="15"/>
      <c r="F16" s="48"/>
    </row>
    <row r="17" spans="1:8" x14ac:dyDescent="0.3">
      <c r="E17" s="6"/>
      <c r="F17" s="6"/>
    </row>
    <row r="18" spans="1:8" x14ac:dyDescent="0.3">
      <c r="C18" s="91" t="s">
        <v>63</v>
      </c>
      <c r="D18" s="3"/>
      <c r="E18" s="73" t="str">
        <f>+E5</f>
        <v>FY 2023</v>
      </c>
      <c r="F18" s="40" t="str">
        <f>+F5</f>
        <v>FY 2024</v>
      </c>
    </row>
    <row r="19" spans="1:8" s="20" customFormat="1" ht="15.6" x14ac:dyDescent="0.3">
      <c r="A19" s="96"/>
      <c r="B19" s="98" t="s">
        <v>0</v>
      </c>
      <c r="C19" s="81" t="s">
        <v>139</v>
      </c>
      <c r="D19" s="10"/>
      <c r="E19" s="11">
        <v>731.61985926568889</v>
      </c>
      <c r="F19" s="43">
        <v>1068.8764204693616</v>
      </c>
    </row>
    <row r="20" spans="1:8" x14ac:dyDescent="0.3">
      <c r="C20" s="80"/>
      <c r="D20" s="5"/>
      <c r="E20" s="11"/>
      <c r="F20" s="43"/>
    </row>
    <row r="21" spans="1:8" x14ac:dyDescent="0.3">
      <c r="C21" s="80"/>
      <c r="D21" s="27" t="str">
        <f>D10</f>
        <v>FY 2022</v>
      </c>
      <c r="E21" s="73" t="str">
        <f>E10</f>
        <v>FY 2023</v>
      </c>
      <c r="F21" s="44" t="str">
        <f>+F18</f>
        <v>FY 2024</v>
      </c>
    </row>
    <row r="22" spans="1:8" x14ac:dyDescent="0.3">
      <c r="B22" s="2" t="s">
        <v>1</v>
      </c>
      <c r="C22" s="80" t="s">
        <v>24</v>
      </c>
      <c r="D22" s="12">
        <f>D11</f>
        <v>5145.7427601200006</v>
      </c>
      <c r="E22" s="6">
        <f>E11</f>
        <v>8338.5852208300003</v>
      </c>
      <c r="F22" s="41">
        <f>F11</f>
        <v>8779.0472103800003</v>
      </c>
    </row>
    <row r="23" spans="1:8" x14ac:dyDescent="0.3">
      <c r="B23" s="2" t="s">
        <v>3</v>
      </c>
      <c r="C23" s="102" t="s">
        <v>99</v>
      </c>
      <c r="D23" s="12">
        <v>0</v>
      </c>
      <c r="E23" s="6">
        <v>-55.308743049999997</v>
      </c>
      <c r="F23" s="41">
        <v>15.49865224</v>
      </c>
    </row>
    <row r="24" spans="1:8" x14ac:dyDescent="0.3">
      <c r="B24" s="2" t="s">
        <v>4</v>
      </c>
      <c r="C24" s="102" t="s">
        <v>117</v>
      </c>
      <c r="D24" s="12">
        <v>0</v>
      </c>
      <c r="E24" s="6">
        <v>-742.64727800000003</v>
      </c>
      <c r="F24" s="41">
        <v>0</v>
      </c>
    </row>
    <row r="25" spans="1:8" ht="13.8" thickBot="1" x14ac:dyDescent="0.35">
      <c r="B25" s="2" t="s">
        <v>6</v>
      </c>
      <c r="C25" s="103" t="s">
        <v>107</v>
      </c>
      <c r="D25" s="69">
        <v>-24.673936049999998</v>
      </c>
      <c r="E25" s="70">
        <v>-36.045544</v>
      </c>
      <c r="F25" s="71">
        <v>-25.608882999999999</v>
      </c>
    </row>
    <row r="26" spans="1:8" s="20" customFormat="1" ht="30.75" customHeight="1" x14ac:dyDescent="0.3">
      <c r="A26" s="8" t="s">
        <v>118</v>
      </c>
      <c r="B26" s="2" t="s">
        <v>8</v>
      </c>
      <c r="C26" s="82" t="s">
        <v>53</v>
      </c>
      <c r="D26" s="72">
        <f>D22+D23+D24+D25</f>
        <v>5121.068824070001</v>
      </c>
      <c r="E26" s="72">
        <f t="shared" ref="E26:F26" si="0">E22+E23+E24+E25</f>
        <v>7504.5836557800003</v>
      </c>
      <c r="F26" s="43">
        <f t="shared" si="0"/>
        <v>8768.936979619999</v>
      </c>
    </row>
    <row r="27" spans="1:8" x14ac:dyDescent="0.3">
      <c r="A27" s="8" t="s">
        <v>119</v>
      </c>
      <c r="B27" s="2" t="s">
        <v>10</v>
      </c>
      <c r="C27" s="81" t="s">
        <v>26</v>
      </c>
      <c r="D27" s="11"/>
      <c r="E27" s="11">
        <f>(D26+E26)/2</f>
        <v>6312.8262399250007</v>
      </c>
      <c r="F27" s="43">
        <f>(E26+F26)/2</f>
        <v>8136.7603177000001</v>
      </c>
    </row>
    <row r="28" spans="1:8" x14ac:dyDescent="0.3">
      <c r="F28" s="46"/>
    </row>
    <row r="29" spans="1:8" x14ac:dyDescent="0.3">
      <c r="A29" s="8" t="s">
        <v>120</v>
      </c>
      <c r="B29" s="2" t="s">
        <v>11</v>
      </c>
      <c r="C29" s="81" t="s">
        <v>56</v>
      </c>
      <c r="D29" s="9"/>
      <c r="E29" s="15">
        <f>+E19/E27</f>
        <v>0.11589418613150057</v>
      </c>
      <c r="F29" s="47">
        <f>+F19/F27</f>
        <v>0.131363881782805</v>
      </c>
      <c r="H29" s="78"/>
    </row>
    <row r="30" spans="1:8" x14ac:dyDescent="0.3">
      <c r="E30" s="1"/>
      <c r="F30" s="48"/>
    </row>
    <row r="31" spans="1:8" x14ac:dyDescent="0.3">
      <c r="E31" s="15"/>
      <c r="F31" s="48"/>
    </row>
    <row r="32" spans="1:8" x14ac:dyDescent="0.3">
      <c r="E32" s="16"/>
      <c r="F32" s="49"/>
    </row>
    <row r="33" spans="1:8" x14ac:dyDescent="0.3">
      <c r="C33" s="91" t="s">
        <v>27</v>
      </c>
      <c r="E33" s="73" t="str">
        <f>$E$10</f>
        <v>FY 2023</v>
      </c>
      <c r="F33" s="40" t="str">
        <f>+$F$5</f>
        <v>FY 2024</v>
      </c>
    </row>
    <row r="34" spans="1:8" x14ac:dyDescent="0.3">
      <c r="B34" s="2" t="s">
        <v>0</v>
      </c>
      <c r="C34" s="34" t="s">
        <v>28</v>
      </c>
      <c r="D34" s="38"/>
      <c r="E34" s="13">
        <v>497</v>
      </c>
      <c r="F34" s="45">
        <v>0</v>
      </c>
    </row>
    <row r="35" spans="1:8" x14ac:dyDescent="0.3">
      <c r="B35" s="2" t="s">
        <v>1</v>
      </c>
      <c r="C35" s="34" t="s">
        <v>122</v>
      </c>
      <c r="D35" s="38"/>
      <c r="E35" s="13">
        <v>506.81</v>
      </c>
      <c r="F35" s="45">
        <v>506.81</v>
      </c>
    </row>
    <row r="36" spans="1:8" x14ac:dyDescent="0.3">
      <c r="B36" s="2" t="s">
        <v>3</v>
      </c>
      <c r="C36" s="34" t="s">
        <v>121</v>
      </c>
      <c r="D36" s="38"/>
      <c r="E36" s="7">
        <v>0</v>
      </c>
      <c r="F36" s="42">
        <v>500</v>
      </c>
    </row>
    <row r="37" spans="1:8" x14ac:dyDescent="0.3">
      <c r="A37" s="8" t="s">
        <v>9</v>
      </c>
      <c r="B37" s="2" t="s">
        <v>4</v>
      </c>
      <c r="C37" s="34" t="s">
        <v>37</v>
      </c>
      <c r="D37" s="38"/>
      <c r="E37" s="37">
        <f>+E34+E35+E36</f>
        <v>1003.81</v>
      </c>
      <c r="F37" s="50">
        <f>+F34+F35+F36</f>
        <v>1006.81</v>
      </c>
    </row>
    <row r="38" spans="1:8" x14ac:dyDescent="0.3">
      <c r="B38" s="2" t="s">
        <v>6</v>
      </c>
      <c r="C38" s="80" t="s">
        <v>36</v>
      </c>
      <c r="E38" s="13">
        <v>499.00200854000002</v>
      </c>
      <c r="F38" s="45">
        <v>499.48625851999998</v>
      </c>
    </row>
    <row r="39" spans="1:8" x14ac:dyDescent="0.3">
      <c r="B39" s="2" t="s">
        <v>8</v>
      </c>
      <c r="C39" s="80" t="s">
        <v>49</v>
      </c>
      <c r="E39" s="13">
        <v>495.55129829999998</v>
      </c>
      <c r="F39" s="45">
        <v>496.33736245000006</v>
      </c>
    </row>
    <row r="40" spans="1:8" x14ac:dyDescent="0.3">
      <c r="B40" s="2" t="s">
        <v>10</v>
      </c>
      <c r="C40" s="80" t="s">
        <v>108</v>
      </c>
      <c r="E40" s="13">
        <v>987.67123403999994</v>
      </c>
      <c r="F40" s="45">
        <v>988.54308988000003</v>
      </c>
    </row>
    <row r="41" spans="1:8" x14ac:dyDescent="0.3">
      <c r="B41" s="2" t="s">
        <v>11</v>
      </c>
      <c r="C41" s="80" t="s">
        <v>109</v>
      </c>
      <c r="E41" s="7">
        <v>800</v>
      </c>
      <c r="F41" s="42">
        <v>600</v>
      </c>
    </row>
    <row r="42" spans="1:8" x14ac:dyDescent="0.3">
      <c r="A42" s="8" t="s">
        <v>123</v>
      </c>
      <c r="B42" s="2" t="s">
        <v>12</v>
      </c>
      <c r="C42" s="81" t="s">
        <v>29</v>
      </c>
      <c r="E42" s="17">
        <f>E37+E38+E39+E40+E41</f>
        <v>3786.0345408799999</v>
      </c>
      <c r="F42" s="51">
        <f>F37+F38+F39+F40+F41</f>
        <v>3591.1767108499998</v>
      </c>
    </row>
    <row r="43" spans="1:8" x14ac:dyDescent="0.3">
      <c r="C43" s="80"/>
      <c r="E43" s="13"/>
      <c r="F43" s="45"/>
    </row>
    <row r="44" spans="1:8" x14ac:dyDescent="0.3">
      <c r="B44" s="2" t="s">
        <v>17</v>
      </c>
      <c r="C44" s="80" t="s">
        <v>24</v>
      </c>
      <c r="E44" s="13">
        <v>8338.5852208300003</v>
      </c>
      <c r="F44" s="45">
        <v>8779.0472103800003</v>
      </c>
    </row>
    <row r="45" spans="1:8" x14ac:dyDescent="0.3">
      <c r="B45" s="2" t="s">
        <v>18</v>
      </c>
      <c r="C45" s="34" t="s">
        <v>94</v>
      </c>
      <c r="E45" s="7">
        <v>3834.8230507487606</v>
      </c>
      <c r="F45" s="42">
        <v>4210.7207535947391</v>
      </c>
    </row>
    <row r="46" spans="1:8" x14ac:dyDescent="0.3">
      <c r="A46" s="8" t="s">
        <v>124</v>
      </c>
      <c r="B46" s="2" t="s">
        <v>19</v>
      </c>
      <c r="C46" s="81" t="s">
        <v>64</v>
      </c>
      <c r="E46" s="17">
        <f>+E44+E45</f>
        <v>12173.408271578761</v>
      </c>
      <c r="F46" s="51">
        <f>+F44+F45</f>
        <v>12989.76796397474</v>
      </c>
    </row>
    <row r="47" spans="1:8" x14ac:dyDescent="0.3">
      <c r="C47" s="80"/>
      <c r="E47" s="13"/>
      <c r="F47" s="45"/>
    </row>
    <row r="48" spans="1:8" x14ac:dyDescent="0.3">
      <c r="A48" s="8" t="s">
        <v>125</v>
      </c>
      <c r="B48" s="2" t="s">
        <v>20</v>
      </c>
      <c r="C48" s="81" t="s">
        <v>30</v>
      </c>
      <c r="E48" s="18">
        <f>E42/(E46+E42)</f>
        <v>0.23722849133081431</v>
      </c>
      <c r="F48" s="52">
        <f>F42/(F46+F42)</f>
        <v>0.21658456627640599</v>
      </c>
      <c r="H48" s="78"/>
    </row>
    <row r="49" spans="1:6" x14ac:dyDescent="0.3">
      <c r="D49" s="18"/>
      <c r="E49" s="26"/>
    </row>
    <row r="50" spans="1:6" x14ac:dyDescent="0.3">
      <c r="D50" s="18"/>
      <c r="E50" s="15"/>
    </row>
    <row r="51" spans="1:6" x14ac:dyDescent="0.3">
      <c r="D51" s="18"/>
    </row>
    <row r="52" spans="1:6" x14ac:dyDescent="0.3">
      <c r="C52" s="91" t="s">
        <v>66</v>
      </c>
      <c r="D52" s="18"/>
      <c r="E52" s="73" t="str">
        <f>$E$10</f>
        <v>FY 2023</v>
      </c>
      <c r="F52" s="40" t="str">
        <f>+$F$5</f>
        <v>FY 2024</v>
      </c>
    </row>
    <row r="53" spans="1:6" x14ac:dyDescent="0.3">
      <c r="B53" s="2" t="s">
        <v>0</v>
      </c>
      <c r="C53" s="80" t="s">
        <v>31</v>
      </c>
      <c r="D53" s="18"/>
      <c r="E53" s="37">
        <v>48.125</v>
      </c>
      <c r="F53" s="50">
        <v>57.455340810000003</v>
      </c>
    </row>
    <row r="54" spans="1:6" x14ac:dyDescent="0.3">
      <c r="B54" s="2" t="s">
        <v>1</v>
      </c>
      <c r="C54" s="80" t="s">
        <v>35</v>
      </c>
      <c r="D54" s="18"/>
      <c r="E54" s="13">
        <v>115.37671233</v>
      </c>
      <c r="F54" s="45">
        <v>112.5611105</v>
      </c>
    </row>
    <row r="55" spans="1:6" x14ac:dyDescent="0.3">
      <c r="B55" s="2" t="s">
        <v>3</v>
      </c>
      <c r="C55" s="80" t="s">
        <v>109</v>
      </c>
      <c r="D55" s="18"/>
      <c r="E55" s="7">
        <v>11.34796253</v>
      </c>
      <c r="F55" s="42">
        <v>24.051922219178081</v>
      </c>
    </row>
    <row r="56" spans="1:6" x14ac:dyDescent="0.3">
      <c r="A56" s="8" t="s">
        <v>9</v>
      </c>
      <c r="B56" s="2" t="s">
        <v>4</v>
      </c>
      <c r="C56" s="81" t="s">
        <v>32</v>
      </c>
      <c r="D56" s="18"/>
      <c r="E56" s="11">
        <f>E53+E54+E55</f>
        <v>174.84967485999999</v>
      </c>
      <c r="F56" s="43">
        <f>F53+F54+F55</f>
        <v>194.06837352917807</v>
      </c>
    </row>
    <row r="57" spans="1:6" x14ac:dyDescent="0.3">
      <c r="C57" s="81"/>
      <c r="D57" s="18"/>
      <c r="E57" s="6"/>
      <c r="F57" s="54"/>
    </row>
    <row r="58" spans="1:6" ht="15.6" x14ac:dyDescent="0.3">
      <c r="B58" s="2" t="s">
        <v>6</v>
      </c>
      <c r="C58" s="80" t="s">
        <v>140</v>
      </c>
      <c r="D58" s="36"/>
      <c r="E58" s="6">
        <v>972.87915799999996</v>
      </c>
      <c r="F58" s="55">
        <v>1427.5285329999999</v>
      </c>
    </row>
    <row r="59" spans="1:6" x14ac:dyDescent="0.3">
      <c r="B59" s="2" t="s">
        <v>8</v>
      </c>
      <c r="C59" s="80" t="s">
        <v>32</v>
      </c>
      <c r="D59" s="18"/>
      <c r="E59" s="7">
        <f>+E56</f>
        <v>174.84967485999999</v>
      </c>
      <c r="F59" s="56">
        <f>+F56</f>
        <v>194.06837352917807</v>
      </c>
    </row>
    <row r="60" spans="1:6" x14ac:dyDescent="0.3">
      <c r="A60" s="8" t="s">
        <v>38</v>
      </c>
      <c r="B60" s="2" t="s">
        <v>10</v>
      </c>
      <c r="C60" s="81" t="s">
        <v>65</v>
      </c>
      <c r="D60" s="18"/>
      <c r="E60" s="11">
        <f>E58+E59</f>
        <v>1147.72883286</v>
      </c>
      <c r="F60" s="57">
        <f>F58+F59</f>
        <v>1621.5969065291779</v>
      </c>
    </row>
    <row r="61" spans="1:6" x14ac:dyDescent="0.3">
      <c r="C61" s="80"/>
      <c r="D61" s="18"/>
      <c r="F61" s="54"/>
    </row>
    <row r="62" spans="1:6" x14ac:dyDescent="0.3">
      <c r="A62" s="8" t="s">
        <v>39</v>
      </c>
      <c r="B62" s="2" t="s">
        <v>11</v>
      </c>
      <c r="C62" s="81" t="s">
        <v>13</v>
      </c>
      <c r="D62" s="18"/>
      <c r="E62" s="19">
        <f>E60/E56</f>
        <v>6.5640890312147997</v>
      </c>
      <c r="F62" s="58">
        <f>F60/F56</f>
        <v>8.3558020147232881</v>
      </c>
    </row>
    <row r="63" spans="1:6" x14ac:dyDescent="0.3">
      <c r="D63" s="20"/>
      <c r="E63" s="92"/>
      <c r="F63" s="59"/>
    </row>
    <row r="64" spans="1:6" x14ac:dyDescent="0.3">
      <c r="D64" s="20"/>
      <c r="E64" s="19"/>
    </row>
    <row r="65" spans="1:8" x14ac:dyDescent="0.3">
      <c r="D65" s="20"/>
    </row>
    <row r="66" spans="1:8" x14ac:dyDescent="0.3">
      <c r="C66" s="91" t="s">
        <v>14</v>
      </c>
      <c r="D66" s="21"/>
      <c r="E66" s="27" t="str">
        <f>$E$10</f>
        <v>FY 2023</v>
      </c>
      <c r="F66" s="40" t="str">
        <f>+$F$5</f>
        <v>FY 2024</v>
      </c>
    </row>
    <row r="67" spans="1:8" x14ac:dyDescent="0.3">
      <c r="B67" s="2" t="s">
        <v>0</v>
      </c>
      <c r="C67" s="34" t="s">
        <v>24</v>
      </c>
      <c r="D67" s="4"/>
      <c r="E67" s="13">
        <v>8338.5852208300003</v>
      </c>
      <c r="F67" s="45">
        <v>8779.0472103800003</v>
      </c>
    </row>
    <row r="68" spans="1:8" x14ac:dyDescent="0.3">
      <c r="B68" s="2" t="s">
        <v>1</v>
      </c>
      <c r="C68" s="34" t="s">
        <v>114</v>
      </c>
      <c r="D68" s="4"/>
      <c r="E68" s="13">
        <v>2986.0345408799999</v>
      </c>
      <c r="F68" s="45">
        <v>2991.1767108499998</v>
      </c>
    </row>
    <row r="69" spans="1:8" x14ac:dyDescent="0.3">
      <c r="B69" s="2" t="s">
        <v>3</v>
      </c>
      <c r="C69" s="34" t="s">
        <v>94</v>
      </c>
      <c r="D69" s="4"/>
      <c r="E69" s="7">
        <v>3834.8230507487606</v>
      </c>
      <c r="F69" s="42">
        <v>4210.7207535947391</v>
      </c>
    </row>
    <row r="70" spans="1:8" x14ac:dyDescent="0.3">
      <c r="A70" s="8" t="s">
        <v>9</v>
      </c>
      <c r="B70" s="2" t="s">
        <v>4</v>
      </c>
      <c r="C70" s="35" t="s">
        <v>78</v>
      </c>
      <c r="D70" s="9"/>
      <c r="E70" s="17">
        <f>E67+E68+E69</f>
        <v>15159.442812458761</v>
      </c>
      <c r="F70" s="51">
        <f>F67+F68+F69</f>
        <v>15980.944674824739</v>
      </c>
    </row>
    <row r="71" spans="1:8" x14ac:dyDescent="0.3">
      <c r="C71" s="34"/>
      <c r="D71" s="4"/>
      <c r="E71" s="13"/>
      <c r="F71" s="45"/>
    </row>
    <row r="72" spans="1:8" x14ac:dyDescent="0.3">
      <c r="B72" s="2" t="s">
        <v>6</v>
      </c>
      <c r="C72" s="35" t="s">
        <v>33</v>
      </c>
      <c r="D72" s="9"/>
      <c r="E72" s="17">
        <v>15542.298676508761</v>
      </c>
      <c r="F72" s="51">
        <v>14874.441823934738</v>
      </c>
      <c r="G72" s="39"/>
    </row>
    <row r="73" spans="1:8" x14ac:dyDescent="0.3">
      <c r="C73" s="34"/>
      <c r="D73" s="4"/>
      <c r="E73" s="22"/>
      <c r="F73" s="60"/>
    </row>
    <row r="74" spans="1:8" x14ac:dyDescent="0.3">
      <c r="A74" s="8" t="s">
        <v>79</v>
      </c>
      <c r="B74" s="2" t="s">
        <v>8</v>
      </c>
      <c r="C74" s="35" t="s">
        <v>15</v>
      </c>
      <c r="D74" s="9"/>
      <c r="E74" s="15">
        <f>E72/E70</f>
        <v>1.0252552728214621</v>
      </c>
      <c r="F74" s="47">
        <f>F72/F70</f>
        <v>0.93076111122309879</v>
      </c>
      <c r="H74" s="78"/>
    </row>
    <row r="75" spans="1:8" x14ac:dyDescent="0.3">
      <c r="A75" s="8" t="s">
        <v>80</v>
      </c>
      <c r="B75" s="2" t="s">
        <v>10</v>
      </c>
      <c r="C75" s="35" t="s">
        <v>48</v>
      </c>
      <c r="D75" s="9"/>
      <c r="E75" s="23">
        <f>E72-E70</f>
        <v>382.85586404999958</v>
      </c>
      <c r="F75" s="61">
        <f>F72-F70</f>
        <v>-1106.5028508900014</v>
      </c>
      <c r="H75" s="5"/>
    </row>
    <row r="76" spans="1:8" x14ac:dyDescent="0.3">
      <c r="D76" s="9"/>
      <c r="E76" s="23"/>
      <c r="F76" s="62"/>
    </row>
    <row r="77" spans="1:8" x14ac:dyDescent="0.3">
      <c r="D77" s="9"/>
      <c r="E77" s="23"/>
      <c r="F77" s="62"/>
    </row>
    <row r="78" spans="1:8" x14ac:dyDescent="0.3">
      <c r="D78" s="9"/>
      <c r="E78" s="23"/>
      <c r="F78" s="62"/>
    </row>
    <row r="79" spans="1:8" x14ac:dyDescent="0.3">
      <c r="C79" s="91" t="s">
        <v>110</v>
      </c>
      <c r="D79" s="21"/>
      <c r="E79" s="27" t="str">
        <f>$E$10</f>
        <v>FY 2023</v>
      </c>
      <c r="F79" s="40" t="str">
        <f>+$F$5</f>
        <v>FY 2024</v>
      </c>
    </row>
    <row r="80" spans="1:8" x14ac:dyDescent="0.3">
      <c r="B80" s="2" t="s">
        <v>0</v>
      </c>
      <c r="C80" s="83" t="s">
        <v>34</v>
      </c>
      <c r="D80" s="4"/>
      <c r="E80" s="25">
        <v>11578</v>
      </c>
      <c r="F80" s="63">
        <v>12321</v>
      </c>
    </row>
    <row r="81" spans="1:8" x14ac:dyDescent="0.3">
      <c r="B81" s="2" t="s">
        <v>1</v>
      </c>
      <c r="C81" s="83" t="s">
        <v>16</v>
      </c>
      <c r="D81" s="4"/>
      <c r="E81" s="29">
        <v>6581</v>
      </c>
      <c r="F81" s="65">
        <v>6209</v>
      </c>
    </row>
    <row r="82" spans="1:8" x14ac:dyDescent="0.3">
      <c r="A82" s="8" t="s">
        <v>22</v>
      </c>
      <c r="B82" s="2" t="s">
        <v>3</v>
      </c>
      <c r="C82" s="81" t="s">
        <v>57</v>
      </c>
      <c r="D82" s="4"/>
      <c r="E82" s="101">
        <f>E80/E81</f>
        <v>1.75930709618599</v>
      </c>
      <c r="F82" s="64">
        <f>F80/F81</f>
        <v>1.9843775165082944</v>
      </c>
      <c r="H82" s="77"/>
    </row>
    <row r="83" spans="1:8" x14ac:dyDescent="0.3">
      <c r="D83" s="24"/>
      <c r="E83" s="23"/>
      <c r="F83" s="59"/>
    </row>
    <row r="84" spans="1:8" x14ac:dyDescent="0.3">
      <c r="D84" s="24"/>
      <c r="E84" s="23"/>
      <c r="F84" s="59"/>
    </row>
    <row r="85" spans="1:8" x14ac:dyDescent="0.3">
      <c r="D85" s="24"/>
      <c r="E85" s="23"/>
      <c r="F85" s="59"/>
    </row>
    <row r="86" spans="1:8" x14ac:dyDescent="0.3">
      <c r="C86" s="91" t="s">
        <v>81</v>
      </c>
      <c r="D86" s="24"/>
      <c r="E86" s="27" t="str">
        <f>E$5</f>
        <v>FY 2023</v>
      </c>
      <c r="F86" s="40" t="str">
        <f>+$F$5</f>
        <v>FY 2024</v>
      </c>
    </row>
    <row r="87" spans="1:8" x14ac:dyDescent="0.3">
      <c r="B87" s="93" t="s">
        <v>0</v>
      </c>
      <c r="C87" s="80" t="s">
        <v>67</v>
      </c>
      <c r="D87" s="28"/>
      <c r="E87" s="25">
        <v>1656.0304606</v>
      </c>
      <c r="F87" s="63">
        <v>2047.2996704200002</v>
      </c>
    </row>
    <row r="88" spans="1:8" x14ac:dyDescent="0.3">
      <c r="B88" s="93" t="s">
        <v>1</v>
      </c>
      <c r="C88" s="94" t="s">
        <v>68</v>
      </c>
      <c r="D88" s="28"/>
      <c r="E88" s="25">
        <v>-33.608237029999998</v>
      </c>
      <c r="F88" s="63">
        <v>-33.65558283</v>
      </c>
    </row>
    <row r="89" spans="1:8" x14ac:dyDescent="0.3">
      <c r="B89" s="93" t="s">
        <v>3</v>
      </c>
      <c r="C89" s="94" t="s">
        <v>128</v>
      </c>
      <c r="D89" s="28"/>
      <c r="E89" s="29">
        <v>0</v>
      </c>
      <c r="F89" s="65">
        <v>16.671143019999999</v>
      </c>
    </row>
    <row r="90" spans="1:8" x14ac:dyDescent="0.3">
      <c r="A90" s="8" t="s">
        <v>9</v>
      </c>
      <c r="B90" s="93" t="s">
        <v>4</v>
      </c>
      <c r="C90" s="95" t="s">
        <v>69</v>
      </c>
      <c r="D90" s="24"/>
      <c r="E90" s="23">
        <f>+E87+E88+E89</f>
        <v>1622.4222235699999</v>
      </c>
      <c r="F90" s="61">
        <f>+F87+F88+F89</f>
        <v>2030.3152306100003</v>
      </c>
    </row>
    <row r="91" spans="1:8" x14ac:dyDescent="0.3">
      <c r="C91" s="80"/>
      <c r="D91" s="28"/>
      <c r="F91" s="63"/>
    </row>
    <row r="92" spans="1:8" x14ac:dyDescent="0.3">
      <c r="B92" s="2" t="s">
        <v>6</v>
      </c>
      <c r="C92" s="97" t="s">
        <v>70</v>
      </c>
      <c r="D92" s="28"/>
      <c r="E92" s="25">
        <v>-1361.04597947</v>
      </c>
      <c r="F92" s="63">
        <v>-1604.8981261399999</v>
      </c>
    </row>
    <row r="93" spans="1:8" x14ac:dyDescent="0.3">
      <c r="B93" s="2" t="s">
        <v>8</v>
      </c>
      <c r="C93" s="83" t="s">
        <v>71</v>
      </c>
      <c r="E93" s="29">
        <v>22.562990380000002</v>
      </c>
      <c r="F93" s="65">
        <v>41.058682959999999</v>
      </c>
    </row>
    <row r="94" spans="1:8" s="20" customFormat="1" x14ac:dyDescent="0.3">
      <c r="A94" s="8" t="s">
        <v>38</v>
      </c>
      <c r="B94" s="2" t="s">
        <v>10</v>
      </c>
      <c r="C94" s="84" t="s">
        <v>102</v>
      </c>
      <c r="E94" s="23">
        <f>+E92+E93</f>
        <v>-1338.48298909</v>
      </c>
      <c r="F94" s="61">
        <f>+F92+F93</f>
        <v>-1563.83944318</v>
      </c>
    </row>
    <row r="95" spans="1:8" x14ac:dyDescent="0.3">
      <c r="C95" s="83"/>
      <c r="E95" s="25"/>
      <c r="F95" s="63"/>
    </row>
    <row r="96" spans="1:8" x14ac:dyDescent="0.3">
      <c r="B96" s="2" t="s">
        <v>11</v>
      </c>
      <c r="C96" s="83" t="s">
        <v>73</v>
      </c>
      <c r="E96" s="25">
        <v>87.390227530000004</v>
      </c>
      <c r="F96" s="63">
        <v>9.7539989299999998</v>
      </c>
    </row>
    <row r="97" spans="1:7" x14ac:dyDescent="0.3">
      <c r="B97" s="2" t="s">
        <v>12</v>
      </c>
      <c r="C97" s="83" t="s">
        <v>76</v>
      </c>
      <c r="E97" s="29">
        <v>17.091331310000001</v>
      </c>
      <c r="F97" s="65">
        <v>-11.490082210000001</v>
      </c>
    </row>
    <row r="98" spans="1:7" s="20" customFormat="1" x14ac:dyDescent="0.3">
      <c r="A98" s="8" t="s">
        <v>130</v>
      </c>
      <c r="B98" s="98" t="s">
        <v>17</v>
      </c>
      <c r="C98" s="84" t="s">
        <v>82</v>
      </c>
      <c r="E98" s="23">
        <f>E96+E97</f>
        <v>104.48155884000001</v>
      </c>
      <c r="F98" s="61">
        <f>F96+F97</f>
        <v>-1.7360832800000008</v>
      </c>
    </row>
    <row r="99" spans="1:7" x14ac:dyDescent="0.3">
      <c r="C99" s="80"/>
      <c r="E99" s="25"/>
      <c r="F99" s="63"/>
    </row>
    <row r="100" spans="1:7" x14ac:dyDescent="0.3">
      <c r="A100" s="8" t="s">
        <v>131</v>
      </c>
      <c r="B100" s="2" t="s">
        <v>18</v>
      </c>
      <c r="C100" s="81" t="s">
        <v>41</v>
      </c>
      <c r="D100" s="20"/>
      <c r="E100" s="23">
        <f>+E94+E98</f>
        <v>-1234.0014302500001</v>
      </c>
      <c r="F100" s="61">
        <f>+F94+F98</f>
        <v>-1565.57552646</v>
      </c>
    </row>
    <row r="101" spans="1:7" x14ac:dyDescent="0.3">
      <c r="E101" s="25"/>
      <c r="F101" s="63"/>
    </row>
    <row r="102" spans="1:7" s="20" customFormat="1" x14ac:dyDescent="0.3">
      <c r="A102" s="96"/>
      <c r="B102" s="98" t="s">
        <v>19</v>
      </c>
      <c r="C102" s="84" t="s">
        <v>85</v>
      </c>
      <c r="E102" s="23">
        <v>-283.64948900000002</v>
      </c>
      <c r="F102" s="61">
        <v>-322.81732453000001</v>
      </c>
    </row>
    <row r="103" spans="1:7" x14ac:dyDescent="0.3">
      <c r="C103" s="84"/>
      <c r="D103" s="20"/>
      <c r="E103" s="23"/>
      <c r="F103" s="61"/>
    </row>
    <row r="104" spans="1:7" x14ac:dyDescent="0.3">
      <c r="B104" s="2" t="s">
        <v>20</v>
      </c>
      <c r="C104" s="99" t="s">
        <v>74</v>
      </c>
      <c r="E104" s="25">
        <v>-159.96628018000001</v>
      </c>
      <c r="F104" s="63">
        <v>-174.83946528999999</v>
      </c>
    </row>
    <row r="105" spans="1:7" x14ac:dyDescent="0.3">
      <c r="A105" s="8" t="s">
        <v>132</v>
      </c>
      <c r="B105" s="2" t="s">
        <v>21</v>
      </c>
      <c r="C105" s="85" t="s">
        <v>75</v>
      </c>
      <c r="E105" s="25">
        <f>+E102-E104</f>
        <v>-123.68320882</v>
      </c>
      <c r="F105" s="63">
        <f>+F102-F104</f>
        <v>-147.97785924000002</v>
      </c>
    </row>
    <row r="106" spans="1:7" x14ac:dyDescent="0.3">
      <c r="E106" s="25"/>
      <c r="F106" s="63"/>
    </row>
    <row r="107" spans="1:7" x14ac:dyDescent="0.3">
      <c r="A107" s="8" t="s">
        <v>133</v>
      </c>
      <c r="B107" s="2" t="s">
        <v>42</v>
      </c>
      <c r="C107" s="83" t="s">
        <v>58</v>
      </c>
      <c r="E107" s="16">
        <f>-E100/E90</f>
        <v>0.76059204091440924</v>
      </c>
      <c r="F107" s="66">
        <f>-F100/F90</f>
        <v>0.77109973015846855</v>
      </c>
    </row>
    <row r="108" spans="1:7" x14ac:dyDescent="0.3">
      <c r="A108" s="8" t="s">
        <v>134</v>
      </c>
      <c r="B108" s="2" t="s">
        <v>43</v>
      </c>
      <c r="C108" s="83" t="s">
        <v>59</v>
      </c>
      <c r="E108" s="16">
        <f>-E104/E90</f>
        <v>9.8597194895424956E-2</v>
      </c>
      <c r="F108" s="66">
        <f>-F104/F90</f>
        <v>8.6114443045117756E-2</v>
      </c>
    </row>
    <row r="109" spans="1:7" x14ac:dyDescent="0.3">
      <c r="A109" s="8" t="s">
        <v>135</v>
      </c>
      <c r="B109" s="2" t="s">
        <v>62</v>
      </c>
      <c r="C109" s="83" t="s">
        <v>60</v>
      </c>
      <c r="E109" s="16">
        <f>-E105/E90</f>
        <v>7.6233675194516126E-2</v>
      </c>
      <c r="F109" s="66">
        <f>-F105/F90</f>
        <v>7.2884179268822527E-2</v>
      </c>
    </row>
    <row r="110" spans="1:7" x14ac:dyDescent="0.3">
      <c r="A110" s="8" t="s">
        <v>136</v>
      </c>
      <c r="B110" s="2" t="s">
        <v>129</v>
      </c>
      <c r="C110" s="84" t="s">
        <v>90</v>
      </c>
      <c r="D110" s="20"/>
      <c r="E110" s="30">
        <f>E107+E108+E109</f>
        <v>0.93542291100435038</v>
      </c>
      <c r="F110" s="47">
        <f>F107+F108+F109</f>
        <v>0.9300983524724088</v>
      </c>
      <c r="G110" s="75"/>
    </row>
    <row r="111" spans="1:7" x14ac:dyDescent="0.3">
      <c r="E111" s="105"/>
      <c r="F111" s="104"/>
    </row>
    <row r="113" spans="1:6" x14ac:dyDescent="0.3">
      <c r="C113" s="91" t="s">
        <v>83</v>
      </c>
      <c r="D113" s="24"/>
      <c r="E113" s="27" t="str">
        <f>E$5</f>
        <v>FY 2023</v>
      </c>
      <c r="F113" s="40" t="str">
        <f>+$F$5</f>
        <v>FY 2024</v>
      </c>
    </row>
    <row r="114" spans="1:6" x14ac:dyDescent="0.3">
      <c r="B114" s="93" t="s">
        <v>0</v>
      </c>
      <c r="C114" s="80" t="s">
        <v>67</v>
      </c>
      <c r="D114" s="28"/>
      <c r="E114" s="25">
        <v>1891.3915256300002</v>
      </c>
      <c r="F114" s="63">
        <v>2077.7849912199999</v>
      </c>
    </row>
    <row r="115" spans="1:6" x14ac:dyDescent="0.3">
      <c r="B115" s="93" t="s">
        <v>1</v>
      </c>
      <c r="C115" s="94" t="s">
        <v>68</v>
      </c>
      <c r="D115" s="28"/>
      <c r="E115" s="29">
        <v>-88.348580440000006</v>
      </c>
      <c r="F115" s="65">
        <v>-95.078780000000009</v>
      </c>
    </row>
    <row r="116" spans="1:6" x14ac:dyDescent="0.3">
      <c r="A116" s="8" t="s">
        <v>2</v>
      </c>
      <c r="B116" s="93" t="s">
        <v>3</v>
      </c>
      <c r="C116" s="95" t="s">
        <v>69</v>
      </c>
      <c r="D116" s="24"/>
      <c r="E116" s="23">
        <f>+E114+E115</f>
        <v>1803.0429451900002</v>
      </c>
      <c r="F116" s="61">
        <f>+F114+F115</f>
        <v>1982.7062112199999</v>
      </c>
    </row>
    <row r="117" spans="1:6" x14ac:dyDescent="0.3">
      <c r="C117" s="80"/>
      <c r="D117" s="28"/>
      <c r="F117" s="63"/>
    </row>
    <row r="118" spans="1:6" x14ac:dyDescent="0.3">
      <c r="B118" s="2" t="s">
        <v>4</v>
      </c>
      <c r="C118" s="97" t="s">
        <v>70</v>
      </c>
      <c r="D118" s="28"/>
      <c r="E118" s="25">
        <v>-1140.4279434699999</v>
      </c>
      <c r="F118" s="63">
        <v>-1159.3725461299998</v>
      </c>
    </row>
    <row r="119" spans="1:6" x14ac:dyDescent="0.3">
      <c r="B119" s="2" t="s">
        <v>6</v>
      </c>
      <c r="C119" s="83" t="s">
        <v>71</v>
      </c>
      <c r="E119" s="29">
        <v>87.915042780000007</v>
      </c>
      <c r="F119" s="65">
        <v>56.107534650000005</v>
      </c>
    </row>
    <row r="120" spans="1:6" s="20" customFormat="1" x14ac:dyDescent="0.3">
      <c r="A120" s="8" t="s">
        <v>72</v>
      </c>
      <c r="B120" s="2" t="s">
        <v>8</v>
      </c>
      <c r="C120" s="84" t="s">
        <v>101</v>
      </c>
      <c r="E120" s="23">
        <f>+E118+E119</f>
        <v>-1052.5129006899999</v>
      </c>
      <c r="F120" s="61">
        <f>+F118+F119</f>
        <v>-1103.2650114799999</v>
      </c>
    </row>
    <row r="121" spans="1:6" x14ac:dyDescent="0.3">
      <c r="C121" s="83"/>
      <c r="E121" s="25"/>
      <c r="F121" s="63"/>
    </row>
    <row r="122" spans="1:6" x14ac:dyDescent="0.3">
      <c r="B122" s="2" t="s">
        <v>10</v>
      </c>
      <c r="C122" s="83" t="s">
        <v>76</v>
      </c>
      <c r="E122" s="29">
        <v>1.7178252000000001</v>
      </c>
      <c r="F122" s="65">
        <v>0</v>
      </c>
    </row>
    <row r="123" spans="1:6" x14ac:dyDescent="0.3">
      <c r="A123" s="8" t="s">
        <v>97</v>
      </c>
      <c r="B123" s="2" t="s">
        <v>11</v>
      </c>
      <c r="C123" s="81" t="s">
        <v>41</v>
      </c>
      <c r="D123" s="20"/>
      <c r="E123" s="23">
        <f>+E120+E122</f>
        <v>-1050.7950754899998</v>
      </c>
      <c r="F123" s="61">
        <f>+F120+F122</f>
        <v>-1103.2650114799999</v>
      </c>
    </row>
    <row r="124" spans="1:6" x14ac:dyDescent="0.3">
      <c r="C124" s="83"/>
      <c r="E124" s="25"/>
      <c r="F124" s="63"/>
    </row>
    <row r="125" spans="1:6" x14ac:dyDescent="0.3">
      <c r="B125" s="2" t="s">
        <v>12</v>
      </c>
      <c r="C125" s="83" t="s">
        <v>85</v>
      </c>
      <c r="E125" s="25">
        <v>-636.01380339000002</v>
      </c>
      <c r="F125" s="63">
        <v>-694.83679083000004</v>
      </c>
    </row>
    <row r="126" spans="1:6" x14ac:dyDescent="0.3">
      <c r="C126" s="84"/>
      <c r="D126" s="20"/>
      <c r="E126" s="23"/>
      <c r="F126" s="61"/>
    </row>
    <row r="127" spans="1:6" x14ac:dyDescent="0.3">
      <c r="B127" s="2" t="s">
        <v>17</v>
      </c>
      <c r="C127" s="99" t="s">
        <v>74</v>
      </c>
      <c r="E127" s="25">
        <v>-475.74644761000002</v>
      </c>
      <c r="F127" s="63">
        <v>-518.64235937000001</v>
      </c>
    </row>
    <row r="128" spans="1:6" x14ac:dyDescent="0.3">
      <c r="A128" s="8" t="s">
        <v>103</v>
      </c>
      <c r="B128" s="2" t="s">
        <v>18</v>
      </c>
      <c r="C128" s="85" t="s">
        <v>75</v>
      </c>
      <c r="E128" s="25">
        <f>+E125-E127</f>
        <v>-160.26735578</v>
      </c>
      <c r="F128" s="63">
        <f>+F125-F127</f>
        <v>-176.19443146000003</v>
      </c>
    </row>
    <row r="129" spans="1:7" x14ac:dyDescent="0.3">
      <c r="E129" s="25"/>
      <c r="F129" s="63"/>
    </row>
    <row r="130" spans="1:7" x14ac:dyDescent="0.3">
      <c r="A130" s="8" t="s">
        <v>77</v>
      </c>
      <c r="B130" s="2" t="s">
        <v>19</v>
      </c>
      <c r="C130" s="83" t="s">
        <v>58</v>
      </c>
      <c r="E130" s="16">
        <f>-E123/E116</f>
        <v>0.58278982111503153</v>
      </c>
      <c r="F130" s="66">
        <f>-F123/F116</f>
        <v>0.55644401840106117</v>
      </c>
    </row>
    <row r="131" spans="1:7" x14ac:dyDescent="0.3">
      <c r="A131" s="8" t="s">
        <v>100</v>
      </c>
      <c r="B131" s="2" t="s">
        <v>20</v>
      </c>
      <c r="C131" s="83" t="s">
        <v>59</v>
      </c>
      <c r="E131" s="16">
        <f>-E127/E116</f>
        <v>0.26385752423654391</v>
      </c>
      <c r="F131" s="66">
        <f>-F127/F116</f>
        <v>0.26158306078582805</v>
      </c>
    </row>
    <row r="132" spans="1:7" x14ac:dyDescent="0.3">
      <c r="A132" s="8" t="s">
        <v>93</v>
      </c>
      <c r="B132" s="2" t="s">
        <v>21</v>
      </c>
      <c r="C132" s="83" t="s">
        <v>60</v>
      </c>
      <c r="E132" s="16">
        <f>-E128/E116</f>
        <v>8.8887153912527259E-2</v>
      </c>
      <c r="F132" s="66">
        <f>-F128/F116</f>
        <v>8.8865627425247215E-2</v>
      </c>
    </row>
    <row r="133" spans="1:7" x14ac:dyDescent="0.3">
      <c r="A133" s="8" t="s">
        <v>104</v>
      </c>
      <c r="B133" s="2" t="s">
        <v>20</v>
      </c>
      <c r="C133" s="84" t="s">
        <v>91</v>
      </c>
      <c r="D133" s="20"/>
      <c r="E133" s="30">
        <f>E130+E131+E132</f>
        <v>0.9355344992641027</v>
      </c>
      <c r="F133" s="47">
        <f>F130+F131+F132</f>
        <v>0.90689270661213639</v>
      </c>
      <c r="G133" s="75"/>
    </row>
    <row r="134" spans="1:7" x14ac:dyDescent="0.3">
      <c r="E134" s="16"/>
      <c r="F134" s="104"/>
    </row>
    <row r="136" spans="1:7" x14ac:dyDescent="0.3">
      <c r="C136" s="91" t="s">
        <v>95</v>
      </c>
      <c r="D136" s="24"/>
      <c r="E136" s="27" t="str">
        <f>E$5</f>
        <v>FY 2023</v>
      </c>
      <c r="F136" s="40" t="str">
        <f>+$F$5</f>
        <v>FY 2024</v>
      </c>
    </row>
    <row r="137" spans="1:7" x14ac:dyDescent="0.3">
      <c r="B137" s="93" t="s">
        <v>0</v>
      </c>
      <c r="C137" s="80" t="s">
        <v>67</v>
      </c>
      <c r="D137" s="28"/>
      <c r="E137" s="25">
        <v>1831.530941</v>
      </c>
      <c r="F137" s="63">
        <v>1489.367958</v>
      </c>
    </row>
    <row r="138" spans="1:7" x14ac:dyDescent="0.3">
      <c r="B138" s="93" t="s">
        <v>1</v>
      </c>
      <c r="C138" s="94" t="s">
        <v>68</v>
      </c>
      <c r="D138" s="28"/>
      <c r="E138" s="29">
        <v>-0.12649099999999999</v>
      </c>
      <c r="F138" s="65">
        <v>-0.20044100000000001</v>
      </c>
    </row>
    <row r="139" spans="1:7" x14ac:dyDescent="0.3">
      <c r="A139" s="8" t="s">
        <v>2</v>
      </c>
      <c r="B139" s="93" t="s">
        <v>3</v>
      </c>
      <c r="C139" s="95" t="s">
        <v>69</v>
      </c>
      <c r="D139" s="24"/>
      <c r="E139" s="23">
        <f>+E137+E138</f>
        <v>1831.40445</v>
      </c>
      <c r="F139" s="61">
        <f>+F137+F138</f>
        <v>1489.1675170000001</v>
      </c>
    </row>
    <row r="140" spans="1:7" x14ac:dyDescent="0.3">
      <c r="C140" s="80"/>
      <c r="D140" s="28"/>
      <c r="F140" s="63"/>
    </row>
    <row r="141" spans="1:7" x14ac:dyDescent="0.3">
      <c r="B141" s="2" t="s">
        <v>4</v>
      </c>
      <c r="C141" s="97" t="s">
        <v>70</v>
      </c>
      <c r="D141" s="28"/>
      <c r="E141" s="25">
        <v>-1765.1381526</v>
      </c>
      <c r="F141" s="63">
        <v>-1433.6105482700002</v>
      </c>
    </row>
    <row r="142" spans="1:7" x14ac:dyDescent="0.3">
      <c r="B142" s="2" t="s">
        <v>6</v>
      </c>
      <c r="C142" s="83" t="s">
        <v>71</v>
      </c>
      <c r="E142" s="29">
        <v>0</v>
      </c>
      <c r="F142" s="65">
        <v>0</v>
      </c>
    </row>
    <row r="143" spans="1:7" s="20" customFormat="1" x14ac:dyDescent="0.3">
      <c r="A143" s="8" t="s">
        <v>72</v>
      </c>
      <c r="B143" s="2" t="s">
        <v>8</v>
      </c>
      <c r="C143" s="84" t="s">
        <v>84</v>
      </c>
      <c r="E143" s="23">
        <f>+E141+E142</f>
        <v>-1765.1381526</v>
      </c>
      <c r="F143" s="61">
        <f>+F141+F142</f>
        <v>-1433.6105482700002</v>
      </c>
    </row>
    <row r="144" spans="1:7" x14ac:dyDescent="0.3">
      <c r="C144" s="83"/>
      <c r="E144" s="25"/>
      <c r="F144" s="63"/>
    </row>
    <row r="145" spans="1:7" s="20" customFormat="1" x14ac:dyDescent="0.3">
      <c r="A145" s="96"/>
      <c r="B145" s="98" t="s">
        <v>10</v>
      </c>
      <c r="C145" s="84" t="s">
        <v>85</v>
      </c>
      <c r="E145" s="23">
        <v>-45.98621447</v>
      </c>
      <c r="F145" s="61">
        <v>-42.870132550000001</v>
      </c>
    </row>
    <row r="146" spans="1:7" x14ac:dyDescent="0.3">
      <c r="C146" s="84"/>
      <c r="D146" s="20"/>
      <c r="E146" s="23"/>
      <c r="F146" s="61"/>
    </row>
    <row r="147" spans="1:7" x14ac:dyDescent="0.3">
      <c r="B147" s="2" t="s">
        <v>11</v>
      </c>
      <c r="C147" s="99" t="s">
        <v>74</v>
      </c>
      <c r="E147" s="25">
        <v>-10.272266</v>
      </c>
      <c r="F147" s="63">
        <v>-7.5365659999999997</v>
      </c>
    </row>
    <row r="148" spans="1:7" x14ac:dyDescent="0.3">
      <c r="A148" s="8" t="s">
        <v>86</v>
      </c>
      <c r="B148" s="2" t="s">
        <v>12</v>
      </c>
      <c r="C148" s="85" t="s">
        <v>75</v>
      </c>
      <c r="E148" s="25">
        <f t="shared" ref="E148" si="1">+E145-E147</f>
        <v>-35.713948469999998</v>
      </c>
      <c r="F148" s="63">
        <f t="shared" ref="F148" si="2">+F145-F147</f>
        <v>-35.33356655</v>
      </c>
    </row>
    <row r="149" spans="1:7" x14ac:dyDescent="0.3">
      <c r="E149" s="25"/>
      <c r="F149" s="63"/>
    </row>
    <row r="150" spans="1:7" x14ac:dyDescent="0.3">
      <c r="A150" s="8" t="s">
        <v>87</v>
      </c>
      <c r="B150" s="2" t="s">
        <v>17</v>
      </c>
      <c r="C150" s="83" t="s">
        <v>58</v>
      </c>
      <c r="E150" s="16">
        <f>-E143/E139</f>
        <v>0.96381667774150048</v>
      </c>
      <c r="F150" s="66">
        <f>-F143/F139</f>
        <v>0.96269259966002885</v>
      </c>
    </row>
    <row r="151" spans="1:7" x14ac:dyDescent="0.3">
      <c r="A151" s="8" t="s">
        <v>77</v>
      </c>
      <c r="B151" s="2" t="s">
        <v>18</v>
      </c>
      <c r="C151" s="83" t="s">
        <v>59</v>
      </c>
      <c r="E151" s="16">
        <f>-E147/E139</f>
        <v>5.608955465844806E-3</v>
      </c>
      <c r="F151" s="66">
        <f>-F147/F139</f>
        <v>5.0609255936382332E-3</v>
      </c>
    </row>
    <row r="152" spans="1:7" x14ac:dyDescent="0.3">
      <c r="A152" s="8" t="s">
        <v>88</v>
      </c>
      <c r="B152" s="2" t="s">
        <v>19</v>
      </c>
      <c r="C152" s="83" t="s">
        <v>60</v>
      </c>
      <c r="E152" s="16">
        <f>-E148/E139</f>
        <v>1.9500852730809953E-2</v>
      </c>
      <c r="F152" s="66">
        <f>-F148/F139</f>
        <v>2.3727059680418747E-2</v>
      </c>
    </row>
    <row r="153" spans="1:7" x14ac:dyDescent="0.3">
      <c r="A153" s="8" t="s">
        <v>89</v>
      </c>
      <c r="B153" s="2" t="s">
        <v>20</v>
      </c>
      <c r="C153" s="84" t="s">
        <v>96</v>
      </c>
      <c r="D153" s="20"/>
      <c r="E153" s="30">
        <f t="shared" ref="E153" si="3">E150+E151+E152</f>
        <v>0.98892648593815524</v>
      </c>
      <c r="F153" s="47">
        <f t="shared" ref="F153" si="4">F150+F151+F152</f>
        <v>0.99148058493408586</v>
      </c>
      <c r="G153" s="75"/>
    </row>
    <row r="154" spans="1:7" x14ac:dyDescent="0.3">
      <c r="E154" s="16"/>
      <c r="F154" s="49"/>
    </row>
    <row r="156" spans="1:7" x14ac:dyDescent="0.3">
      <c r="E156" s="6"/>
      <c r="F156" s="6"/>
    </row>
    <row r="157" spans="1:7" x14ac:dyDescent="0.3">
      <c r="C157" s="91" t="s">
        <v>92</v>
      </c>
      <c r="E157" s="27" t="str">
        <f>E$5</f>
        <v>FY 2023</v>
      </c>
      <c r="F157" s="40" t="str">
        <f>+$F$5</f>
        <v>FY 2024</v>
      </c>
    </row>
    <row r="158" spans="1:7" ht="15.6" x14ac:dyDescent="0.3">
      <c r="B158" s="2" t="s">
        <v>0</v>
      </c>
      <c r="C158" s="80" t="s">
        <v>137</v>
      </c>
      <c r="E158" s="6">
        <v>972.87915799999996</v>
      </c>
      <c r="F158" s="63">
        <v>1427.5285329999999</v>
      </c>
    </row>
    <row r="159" spans="1:7" x14ac:dyDescent="0.3">
      <c r="A159" s="2"/>
      <c r="B159" s="1"/>
      <c r="C159" s="81"/>
      <c r="F159" s="63"/>
    </row>
    <row r="160" spans="1:7" x14ac:dyDescent="0.3">
      <c r="B160" s="1" t="s">
        <v>1</v>
      </c>
      <c r="C160" s="83" t="s">
        <v>50</v>
      </c>
      <c r="E160" s="6">
        <v>178838729.80821919</v>
      </c>
      <c r="F160" s="63">
        <v>210798737.47814202</v>
      </c>
    </row>
    <row r="161" spans="1:7" x14ac:dyDescent="0.3">
      <c r="A161" s="8" t="s">
        <v>22</v>
      </c>
      <c r="B161" s="2" t="s">
        <v>3</v>
      </c>
      <c r="C161" s="84" t="s">
        <v>44</v>
      </c>
      <c r="D161" s="20"/>
      <c r="E161" s="31">
        <f>E158*1000000/E160</f>
        <v>5.4399802494866956</v>
      </c>
      <c r="F161" s="67">
        <f>F158*1000000/F160</f>
        <v>6.7719975464654869</v>
      </c>
    </row>
    <row r="164" spans="1:7" x14ac:dyDescent="0.3">
      <c r="C164" s="91" t="s">
        <v>111</v>
      </c>
      <c r="E164" s="27" t="str">
        <f>E$5</f>
        <v>FY 2023</v>
      </c>
      <c r="F164" s="40" t="str">
        <f>+$F$5</f>
        <v>FY 2024</v>
      </c>
    </row>
    <row r="165" spans="1:7" ht="15.6" x14ac:dyDescent="0.3">
      <c r="B165" s="2" t="s">
        <v>0</v>
      </c>
      <c r="C165" s="80" t="s">
        <v>141</v>
      </c>
      <c r="E165" s="6">
        <v>874</v>
      </c>
      <c r="F165" s="63">
        <v>1193</v>
      </c>
    </row>
    <row r="166" spans="1:7" x14ac:dyDescent="0.3">
      <c r="A166" s="2"/>
      <c r="B166" s="1"/>
      <c r="C166" s="81"/>
      <c r="F166" s="63"/>
    </row>
    <row r="167" spans="1:7" x14ac:dyDescent="0.3">
      <c r="B167" s="1" t="s">
        <v>1</v>
      </c>
      <c r="C167" s="83" t="s">
        <v>50</v>
      </c>
      <c r="E167" s="6">
        <v>178838729.80821919</v>
      </c>
      <c r="F167" s="63">
        <v>210798737.47814202</v>
      </c>
    </row>
    <row r="168" spans="1:7" x14ac:dyDescent="0.3">
      <c r="A168" s="8" t="s">
        <v>22</v>
      </c>
      <c r="B168" s="2" t="s">
        <v>3</v>
      </c>
      <c r="C168" s="84" t="s">
        <v>112</v>
      </c>
      <c r="D168" s="20"/>
      <c r="E168" s="31">
        <f>E165*1000000/E167</f>
        <v>4.8870845869753659</v>
      </c>
      <c r="F168" s="67">
        <f>F165*1000000/F167</f>
        <v>5.6594266847717893</v>
      </c>
    </row>
    <row r="171" spans="1:7" x14ac:dyDescent="0.3">
      <c r="C171" s="91" t="s">
        <v>126</v>
      </c>
      <c r="E171" s="27" t="str">
        <f>E$5</f>
        <v>FY 2023</v>
      </c>
      <c r="F171" s="40" t="str">
        <f>+$F$5</f>
        <v>FY 2024</v>
      </c>
    </row>
    <row r="172" spans="1:7" x14ac:dyDescent="0.3">
      <c r="B172" s="2" t="s">
        <v>0</v>
      </c>
      <c r="C172" s="80" t="s">
        <v>127</v>
      </c>
      <c r="E172" s="6">
        <v>610.21818818000008</v>
      </c>
      <c r="F172" s="63">
        <v>653.58948599999997</v>
      </c>
      <c r="G172" s="77"/>
    </row>
    <row r="173" spans="1:7" x14ac:dyDescent="0.3">
      <c r="B173" s="2" t="s">
        <v>1</v>
      </c>
      <c r="C173" s="83" t="s">
        <v>105</v>
      </c>
      <c r="E173" s="7">
        <v>211148162</v>
      </c>
      <c r="F173" s="65">
        <v>208902381</v>
      </c>
      <c r="G173" s="77"/>
    </row>
    <row r="174" spans="1:7" x14ac:dyDescent="0.3">
      <c r="A174" s="32"/>
      <c r="B174" s="1" t="s">
        <v>3</v>
      </c>
      <c r="C174" s="81" t="s">
        <v>106</v>
      </c>
      <c r="E174" s="33">
        <f>(E172*1000000)/E173</f>
        <v>2.89</v>
      </c>
      <c r="F174" s="68">
        <v>3.12</v>
      </c>
      <c r="G174" s="77"/>
    </row>
    <row r="175" spans="1:7" ht="34.799999999999997" customHeight="1" x14ac:dyDescent="0.3">
      <c r="C175" s="106" t="s">
        <v>142</v>
      </c>
      <c r="D175" s="106"/>
      <c r="E175" s="106"/>
      <c r="F175" s="106"/>
    </row>
    <row r="179" spans="1:6" x14ac:dyDescent="0.3">
      <c r="C179" s="91" t="s">
        <v>45</v>
      </c>
      <c r="E179" s="27" t="str">
        <f>E$5</f>
        <v>FY 2023</v>
      </c>
      <c r="F179" s="40" t="str">
        <f>+$F$5</f>
        <v>FY 2024</v>
      </c>
    </row>
    <row r="180" spans="1:6" x14ac:dyDescent="0.3">
      <c r="B180" s="2" t="s">
        <v>0</v>
      </c>
      <c r="C180" s="80" t="s">
        <v>46</v>
      </c>
      <c r="E180" s="6">
        <v>1037.9301805299999</v>
      </c>
      <c r="F180" s="63">
        <v>882.27651520000006</v>
      </c>
    </row>
    <row r="181" spans="1:6" x14ac:dyDescent="0.3">
      <c r="B181" s="2" t="s">
        <v>1</v>
      </c>
      <c r="C181" s="83" t="s">
        <v>50</v>
      </c>
      <c r="E181" s="7">
        <v>178838729.80821919</v>
      </c>
      <c r="F181" s="65">
        <v>210798737.47814202</v>
      </c>
    </row>
    <row r="182" spans="1:6" x14ac:dyDescent="0.3">
      <c r="A182" s="32" t="s">
        <v>22</v>
      </c>
      <c r="B182" s="1" t="s">
        <v>3</v>
      </c>
      <c r="C182" s="81" t="s">
        <v>47</v>
      </c>
      <c r="E182" s="33">
        <f>E180*1000000/E181</f>
        <v>5.8037214961381256</v>
      </c>
      <c r="F182" s="68">
        <f>F180*1000000/F181</f>
        <v>4.1853975301511674</v>
      </c>
    </row>
    <row r="186" spans="1:6" ht="15" x14ac:dyDescent="0.3">
      <c r="C186" s="76" t="s">
        <v>138</v>
      </c>
    </row>
    <row r="187" spans="1:6" x14ac:dyDescent="0.3">
      <c r="C187" s="76"/>
    </row>
  </sheetData>
  <mergeCells count="1">
    <mergeCell ref="C175:F175"/>
  </mergeCells>
  <pageMargins left="0.25" right="0.25" top="0.75" bottom="0.75" header="0.3" footer="0.3"/>
  <pageSetup paperSize="256" scale="10" fitToHeight="0" orientation="portrait" r:id="rId1"/>
  <ignoredErrors>
    <ignoredError sqref="E13:F13 D21:D22 E71:F71 F10 E20:F22 E43:F43 E47:F51 E56:F57 E60:F61 E78:F79 F86 F91 F99 F106 F159 F170 F185 F52 F110 F178:F179 E82:F83 E73:F76 F176 F182:F183 E64:F66 F62:F63 F101 F157 E15:F16 F14 F18 D27 F27 D29 D28:F28 D30:F33 F162:F16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49ccbba-12d6-49db-bdd9-68cdcd1a3368">
      <UserInfo>
        <DisplayName>Koomen P. (Petra)</DisplayName>
        <AccountId>31</AccountId>
        <AccountType/>
      </UserInfo>
      <UserInfo>
        <DisplayName>Meulenhof R.A.J.H. van de (Rick)</DisplayName>
        <AccountId>18</AccountId>
        <AccountType/>
      </UserInfo>
      <UserInfo>
        <DisplayName>Bruintjes J.W. (Jan Willem)</DisplayName>
        <AccountId>10</AccountId>
        <AccountType/>
      </UserInfo>
      <UserInfo>
        <DisplayName>Nijkamp D. (Dennis)</DisplayName>
        <AccountId>35</AccountId>
        <AccountType/>
      </UserInfo>
      <UserInfo>
        <DisplayName>Pater R.P. de (Robert)</DisplayName>
        <AccountId>26</AccountId>
        <AccountType/>
      </UserInfo>
      <UserInfo>
        <DisplayName>Warmerdam Y.E.L. (Yvo)</DisplayName>
        <AccountId>21</AccountId>
        <AccountType/>
      </UserInfo>
    </SharedWithUsers>
    <lcf76f155ced4ddcb4097134ff3c332f xmlns="e08edb36-42ec-4d7b-b33e-38f73d74cd73">
      <Terms xmlns="http://schemas.microsoft.com/office/infopath/2007/PartnerControls"/>
    </lcf76f155ced4ddcb4097134ff3c332f>
    <TaxCatchAll xmlns="349ccbba-12d6-49db-bdd9-68cdcd1a336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74F064D97E484E9B0861EFDA82657B" ma:contentTypeVersion="14" ma:contentTypeDescription="Een nieuw document maken." ma:contentTypeScope="" ma:versionID="ddd081b10efc4b95853e135fca7fdc7a">
  <xsd:schema xmlns:xsd="http://www.w3.org/2001/XMLSchema" xmlns:xs="http://www.w3.org/2001/XMLSchema" xmlns:p="http://schemas.microsoft.com/office/2006/metadata/properties" xmlns:ns2="e08edb36-42ec-4d7b-b33e-38f73d74cd73" xmlns:ns3="349ccbba-12d6-49db-bdd9-68cdcd1a3368" targetNamespace="http://schemas.microsoft.com/office/2006/metadata/properties" ma:root="true" ma:fieldsID="03d3e253bf74c0e48dc7f762ff1b6cb2" ns2:_="" ns3:_="">
    <xsd:import namespace="e08edb36-42ec-4d7b-b33e-38f73d74cd73"/>
    <xsd:import namespace="349ccbba-12d6-49db-bdd9-68cdcd1a33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edb36-42ec-4d7b-b33e-38f73d74cd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664b9308-55c8-4015-8ac6-a51aaf5c93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9ccbba-12d6-49db-bdd9-68cdcd1a33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d124f65-b685-452e-97f6-60855a4edae7}" ma:internalName="TaxCatchAll" ma:showField="CatchAllData" ma:web="349ccbba-12d6-49db-bdd9-68cdcd1a33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368EF0-A661-4F09-B4FB-D6C093BD422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FD20E7-EBDA-41A7-BF04-5ABD8B738F38}">
  <ds:schemaRefs>
    <ds:schemaRef ds:uri="http://purl.org/dc/elements/1.1/"/>
    <ds:schemaRef ds:uri="http://schemas.microsoft.com/office/2006/metadata/properties"/>
    <ds:schemaRef ds:uri="898d9e7a-080b-4156-8d60-470a5518bf8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a8c6fa8-abe8-451b-84ab-3ef7ed97a9a0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EA0FCB-1768-4A17-917A-C735E9EE967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FY 2024</vt:lpstr>
    </vt:vector>
  </TitlesOfParts>
  <Company>ASR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Vloet W.E.M. (Helma)</dc:creator>
  <cp:lastModifiedBy>Warmerdam Y.E.L. (Yvo)</cp:lastModifiedBy>
  <cp:lastPrinted>2017-08-16T11:38:27Z</cp:lastPrinted>
  <dcterms:created xsi:type="dcterms:W3CDTF">2016-06-20T09:01:04Z</dcterms:created>
  <dcterms:modified xsi:type="dcterms:W3CDTF">2025-02-10T15:29:27Z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0x0101003B74F064D97E484E9B0861EFDA82657B</vt:lpwstr>
  </property>
</Properties>
</file>